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21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22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23.xml" ContentType="application/vnd.openxmlformats-officedocument.drawingml.chart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24.xml" ContentType="application/vnd.openxmlformats-officedocument.drawingml.chart+xml"/>
  <Override PartName="/xl/drawings/drawing47.xml" ContentType="application/vnd.openxmlformats-officedocument.drawingml.chartshapes+xml"/>
  <Override PartName="/xl/charts/chart25.xml" ContentType="application/vnd.openxmlformats-officedocument.drawingml.chart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6.xml" ContentType="application/vnd.openxmlformats-officedocument.drawingml.chart+xml"/>
  <Override PartName="/xl/drawings/drawing50.xml" ContentType="application/vnd.openxmlformats-officedocument.drawingml.chartshapes+xml"/>
  <Override PartName="/xl/charts/chart27.xml" ContentType="application/vnd.openxmlformats-officedocument.drawingml.chart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28.xml" ContentType="application/vnd.openxmlformats-officedocument.drawingml.chart+xml"/>
  <Override PartName="/xl/drawings/drawing53.xml" ContentType="application/vnd.openxmlformats-officedocument.drawingml.chartshapes+xml"/>
  <Override PartName="/xl/drawings/drawing54.xml" ContentType="application/vnd.openxmlformats-officedocument.drawing+xml"/>
  <Override PartName="/xl/charts/chart29.xml" ContentType="application/vnd.openxmlformats-officedocument.drawingml.chart+xml"/>
  <Override PartName="/xl/drawings/drawing55.xml" ContentType="application/vnd.openxmlformats-officedocument.drawingml.chartshapes+xml"/>
  <Override PartName="/xl/charts/chart30.xml" ContentType="application/vnd.openxmlformats-officedocument.drawingml.chart+xml"/>
  <Override PartName="/xl/drawings/drawing56.xml" ContentType="application/vnd.openxmlformats-officedocument.drawingml.chartshapes+xml"/>
  <Override PartName="/xl/charts/chart31.xml" ContentType="application/vnd.openxmlformats-officedocument.drawingml.chart+xml"/>
  <Override PartName="/xl/drawings/drawing57.xml" ContentType="application/vnd.openxmlformats-officedocument.drawingml.chartshapes+xml"/>
  <Override PartName="/xl/charts/chart32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3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4.xml" ContentType="application/vnd.openxmlformats-officedocument.drawingml.chart+xml"/>
  <Override PartName="/xl/drawings/drawing62.xml" ContentType="application/vnd.openxmlformats-officedocument.drawingml.chartshapes+xml"/>
  <Override PartName="/xl/charts/chart35.xml" ContentType="application/vnd.openxmlformats-officedocument.drawingml.chart+xml"/>
  <Override PartName="/xl/drawings/drawing63.xml" ContentType="application/vnd.openxmlformats-officedocument.drawingml.chartshapes+xml"/>
  <Override PartName="/xl/drawings/drawing64.xml" ContentType="application/vnd.openxmlformats-officedocument.drawing+xml"/>
  <Override PartName="/xl/charts/chart36.xml" ContentType="application/vnd.openxmlformats-officedocument.drawingml.chart+xml"/>
  <Override PartName="/xl/drawings/drawing65.xml" ContentType="application/vnd.openxmlformats-officedocument.drawingml.chartshapes+xml"/>
  <Override PartName="/xl/drawings/drawing66.xml" ContentType="application/vnd.openxmlformats-officedocument.drawing+xml"/>
  <Override PartName="/xl/charts/chart37.xml" ContentType="application/vnd.openxmlformats-officedocument.drawingml.chart+xml"/>
  <Override PartName="/xl/drawings/drawing67.xml" ContentType="application/vnd.openxmlformats-officedocument.drawingml.chartshapes+xml"/>
  <Override PartName="/xl/drawings/drawing68.xml" ContentType="application/vnd.openxmlformats-officedocument.drawing+xml"/>
  <Override PartName="/xl/charts/chart38.xml" ContentType="application/vnd.openxmlformats-officedocument.drawingml.chart+xml"/>
  <Override PartName="/xl/drawings/drawing69.xml" ContentType="application/vnd.openxmlformats-officedocument.drawingml.chartshapes+xml"/>
  <Override PartName="/xl/drawings/drawing70.xml" ContentType="application/vnd.openxmlformats-officedocument.drawing+xml"/>
  <Override PartName="/xl/charts/chart39.xml" ContentType="application/vnd.openxmlformats-officedocument.drawingml.chart+xml"/>
  <Override PartName="/xl/drawings/drawing71.xml" ContentType="application/vnd.openxmlformats-officedocument.drawingml.chartshapes+xml"/>
  <Override PartName="/xl/drawings/drawing72.xml" ContentType="application/vnd.openxmlformats-officedocument.drawing+xml"/>
  <Override PartName="/xl/charts/chart40.xml" ContentType="application/vnd.openxmlformats-officedocument.drawingml.chart+xml"/>
  <Override PartName="/xl/drawings/drawing73.xml" ContentType="application/vnd.openxmlformats-officedocument.drawingml.chartshapes+xml"/>
  <Override PartName="/xl/drawings/drawing74.xml" ContentType="application/vnd.openxmlformats-officedocument.drawing+xml"/>
  <Override PartName="/xl/charts/chart41.xml" ContentType="application/vnd.openxmlformats-officedocument.drawingml.chart+xml"/>
  <Override PartName="/xl/drawings/drawing75.xml" ContentType="application/vnd.openxmlformats-officedocument.drawingml.chartshapes+xml"/>
  <Override PartName="/xl/drawings/drawing76.xml" ContentType="application/vnd.openxmlformats-officedocument.drawing+xml"/>
  <Override PartName="/xl/charts/chart42.xml" ContentType="application/vnd.openxmlformats-officedocument.drawingml.chart+xml"/>
  <Override PartName="/xl/drawings/drawing77.xml" ContentType="application/vnd.openxmlformats-officedocument.drawingml.chartshapes+xml"/>
  <Override PartName="/xl/drawings/drawing78.xml" ContentType="application/vnd.openxmlformats-officedocument.drawing+xml"/>
  <Override PartName="/xl/comments2.xml" ContentType="application/vnd.openxmlformats-officedocument.spreadsheetml.comments+xml"/>
  <Override PartName="/xl/charts/chart43.xml" ContentType="application/vnd.openxmlformats-officedocument.drawingml.chart+xml"/>
  <Override PartName="/xl/drawings/drawing79.xml" ContentType="application/vnd.openxmlformats-officedocument.drawingml.chartshapes+xml"/>
  <Override PartName="/xl/drawings/drawing80.xml" ContentType="application/vnd.openxmlformats-officedocument.drawing+xml"/>
  <Override PartName="/xl/charts/chart44.xml" ContentType="application/vnd.openxmlformats-officedocument.drawingml.chart+xml"/>
  <Override PartName="/xl/drawings/drawing81.xml" ContentType="application/vnd.openxmlformats-officedocument.drawingml.chartshapes+xml"/>
  <Override PartName="/xl/drawings/drawing82.xml" ContentType="application/vnd.openxmlformats-officedocument.drawing+xml"/>
  <Override PartName="/xl/comments3.xml" ContentType="application/vnd.openxmlformats-officedocument.spreadsheetml.comments+xml"/>
  <Override PartName="/xl/charts/chart45.xml" ContentType="application/vnd.openxmlformats-officedocument.drawingml.chart+xml"/>
  <Override PartName="/xl/drawings/drawing83.xml" ContentType="application/vnd.openxmlformats-officedocument.drawingml.chartshapes+xml"/>
  <Override PartName="/xl/drawings/drawing84.xml" ContentType="application/vnd.openxmlformats-officedocument.drawing+xml"/>
  <Override PartName="/xl/comments4.xml" ContentType="application/vnd.openxmlformats-officedocument.spreadsheetml.comments+xml"/>
  <Override PartName="/xl/charts/chart46.xml" ContentType="application/vnd.openxmlformats-officedocument.drawingml.chart+xml"/>
  <Override PartName="/xl/drawings/drawing85.xml" ContentType="application/vnd.openxmlformats-officedocument.drawingml.chartshapes+xml"/>
  <Override PartName="/xl/drawings/drawing86.xml" ContentType="application/vnd.openxmlformats-officedocument.drawing+xml"/>
  <Override PartName="/xl/charts/chart47.xml" ContentType="application/vnd.openxmlformats-officedocument.drawingml.chart+xml"/>
  <Override PartName="/xl/drawings/drawing87.xml" ContentType="application/vnd.openxmlformats-officedocument.drawingml.chartshapes+xml"/>
  <Override PartName="/xl/drawings/drawing88.xml" ContentType="application/vnd.openxmlformats-officedocument.drawing+xml"/>
  <Override PartName="/xl/charts/chart48.xml" ContentType="application/vnd.openxmlformats-officedocument.drawingml.chart+xml"/>
  <Override PartName="/xl/drawings/drawing89.xml" ContentType="application/vnd.openxmlformats-officedocument.drawing+xml"/>
  <Override PartName="/xl/charts/chart49.xml" ContentType="application/vnd.openxmlformats-officedocument.drawingml.chart+xml"/>
  <Override PartName="/xl/drawings/drawing90.xml" ContentType="application/vnd.openxmlformats-officedocument.drawingml.chartshapes+xml"/>
  <Override PartName="/xl/drawings/drawing91.xml" ContentType="application/vnd.openxmlformats-officedocument.drawing+xml"/>
  <Override PartName="/xl/charts/chart50.xml" ContentType="application/vnd.openxmlformats-officedocument.drawingml.chart+xml"/>
  <Override PartName="/xl/drawings/drawing92.xml" ContentType="application/vnd.openxmlformats-officedocument.drawingml.chartshapes+xml"/>
  <Override PartName="/xl/drawings/drawing93.xml" ContentType="application/vnd.openxmlformats-officedocument.drawing+xml"/>
  <Override PartName="/xl/charts/chart51.xml" ContentType="application/vnd.openxmlformats-officedocument.drawingml.chart+xml"/>
  <Override PartName="/xl/drawings/drawing94.xml" ContentType="application/vnd.openxmlformats-officedocument.drawingml.chartshapes+xml"/>
  <Override PartName="/xl/charts/chart52.xml" ContentType="application/vnd.openxmlformats-officedocument.drawingml.chart+xml"/>
  <Override PartName="/xl/drawings/drawing95.xml" ContentType="application/vnd.openxmlformats-officedocument.drawingml.chartshapes+xml"/>
  <Override PartName="/xl/drawings/drawing96.xml" ContentType="application/vnd.openxmlformats-officedocument.drawing+xml"/>
  <Override PartName="/xl/charts/chart53.xml" ContentType="application/vnd.openxmlformats-officedocument.drawingml.chart+xml"/>
  <Override PartName="/xl/drawings/drawing97.xml" ContentType="application/vnd.openxmlformats-officedocument.drawingml.chartshapes+xml"/>
  <Override PartName="/xl/drawings/drawing98.xml" ContentType="application/vnd.openxmlformats-officedocument.drawing+xml"/>
  <Override PartName="/xl/charts/chart54.xml" ContentType="application/vnd.openxmlformats-officedocument.drawingml.chart+xml"/>
  <Override PartName="/xl/drawings/drawing99.xml" ContentType="application/vnd.openxmlformats-officedocument.drawingml.chartshapes+xml"/>
  <Override PartName="/xl/drawings/drawing100.xml" ContentType="application/vnd.openxmlformats-officedocument.drawing+xml"/>
  <Override PartName="/xl/charts/chart55.xml" ContentType="application/vnd.openxmlformats-officedocument.drawingml.chart+xml"/>
  <Override PartName="/xl/drawings/drawing101.xml" ContentType="application/vnd.openxmlformats-officedocument.drawingml.chartshapes+xml"/>
  <Override PartName="/xl/charts/chart56.xml" ContentType="application/vnd.openxmlformats-officedocument.drawingml.chart+xml"/>
  <Override PartName="/xl/drawings/drawing102.xml" ContentType="application/vnd.openxmlformats-officedocument.drawingml.chartshapes+xml"/>
  <Override PartName="/xl/charts/chart57.xml" ContentType="application/vnd.openxmlformats-officedocument.drawingml.chart+xml"/>
  <Override PartName="/xl/drawings/drawing103.xml" ContentType="application/vnd.openxmlformats-officedocument.drawingml.chartshapes+xml"/>
  <Override PartName="/xl/charts/chart58.xml" ContentType="application/vnd.openxmlformats-officedocument.drawingml.chart+xml"/>
  <Override PartName="/xl/drawings/drawing104.xml" ContentType="application/vnd.openxmlformats-officedocument.drawingml.chartshapes+xml"/>
  <Override PartName="/xl/charts/chart59.xml" ContentType="application/vnd.openxmlformats-officedocument.drawingml.chart+xml"/>
  <Override PartName="/xl/drawings/drawing105.xml" ContentType="application/vnd.openxmlformats-officedocument.drawingml.chartshapes+xml"/>
  <Override PartName="/xl/charts/chart60.xml" ContentType="application/vnd.openxmlformats-officedocument.drawingml.chart+xml"/>
  <Override PartName="/xl/drawings/drawing106.xml" ContentType="application/vnd.openxmlformats-officedocument.drawingml.chartshapes+xml"/>
  <Override PartName="/xl/drawings/drawing107.xml" ContentType="application/vnd.openxmlformats-officedocument.drawing+xml"/>
  <Override PartName="/xl/charts/chart61.xml" ContentType="application/vnd.openxmlformats-officedocument.drawingml.chart+xml"/>
  <Override PartName="/xl/drawings/drawing108.xml" ContentType="application/vnd.openxmlformats-officedocument.drawingml.chartshapes+xml"/>
  <Override PartName="/xl/drawings/drawing109.xml" ContentType="application/vnd.openxmlformats-officedocument.drawing+xml"/>
  <Override PartName="/xl/charts/chart62.xml" ContentType="application/vnd.openxmlformats-officedocument.drawingml.chart+xml"/>
  <Override PartName="/xl/drawings/drawing110.xml" ContentType="application/vnd.openxmlformats-officedocument.drawingml.chartshapes+xml"/>
  <Override PartName="/xl/drawings/drawing111.xml" ContentType="application/vnd.openxmlformats-officedocument.drawing+xml"/>
  <Override PartName="/xl/charts/chart63.xml" ContentType="application/vnd.openxmlformats-officedocument.drawingml.chart+xml"/>
  <Override PartName="/xl/drawings/drawing112.xml" ContentType="application/vnd.openxmlformats-officedocument.drawingml.chartshapes+xml"/>
  <Override PartName="/xl/drawings/drawing113.xml" ContentType="application/vnd.openxmlformats-officedocument.drawing+xml"/>
  <Override PartName="/xl/charts/chart64.xml" ContentType="application/vnd.openxmlformats-officedocument.drawingml.chart+xml"/>
  <Override PartName="/xl/drawings/drawing114.xml" ContentType="application/vnd.openxmlformats-officedocument.drawingml.chartshapes+xml"/>
  <Override PartName="/xl/drawings/drawing115.xml" ContentType="application/vnd.openxmlformats-officedocument.drawing+xml"/>
  <Override PartName="/xl/charts/chart65.xml" ContentType="application/vnd.openxmlformats-officedocument.drawingml.chart+xml"/>
  <Override PartName="/xl/drawings/drawing116.xml" ContentType="application/vnd.openxmlformats-officedocument.drawingml.chartshapes+xml"/>
  <Override PartName="/xl/drawings/drawing117.xml" ContentType="application/vnd.openxmlformats-officedocument.drawing+xml"/>
  <Override PartName="/xl/charts/chart66.xml" ContentType="application/vnd.openxmlformats-officedocument.drawingml.chart+xml"/>
  <Override PartName="/xl/drawings/drawing118.xml" ContentType="application/vnd.openxmlformats-officedocument.drawingml.chartshapes+xml"/>
  <Override PartName="/xl/drawings/drawing119.xml" ContentType="application/vnd.openxmlformats-officedocument.drawing+xml"/>
  <Override PartName="/xl/charts/chart67.xml" ContentType="application/vnd.openxmlformats-officedocument.drawingml.chart+xml"/>
  <Override PartName="/xl/drawings/drawing120.xml" ContentType="application/vnd.openxmlformats-officedocument.drawingml.chartshapes+xml"/>
  <Override PartName="/xl/drawings/drawing121.xml" ContentType="application/vnd.openxmlformats-officedocument.drawing+xml"/>
  <Override PartName="/xl/charts/chart68.xml" ContentType="application/vnd.openxmlformats-officedocument.drawingml.chart+xml"/>
  <Override PartName="/xl/drawings/drawing122.xml" ContentType="application/vnd.openxmlformats-officedocument.drawingml.chartshapes+xml"/>
  <Override PartName="/xl/drawings/drawing123.xml" ContentType="application/vnd.openxmlformats-officedocument.drawing+xml"/>
  <Override PartName="/xl/charts/chart69.xml" ContentType="application/vnd.openxmlformats-officedocument.drawingml.chart+xml"/>
  <Override PartName="/xl/drawings/drawing124.xml" ContentType="application/vnd.openxmlformats-officedocument.drawingml.chartshapes+xml"/>
  <Override PartName="/xl/drawings/drawing125.xml" ContentType="application/vnd.openxmlformats-officedocument.drawing+xml"/>
  <Override PartName="/xl/charts/chart70.xml" ContentType="application/vnd.openxmlformats-officedocument.drawingml.chart+xml"/>
  <Override PartName="/xl/drawings/drawing126.xml" ContentType="application/vnd.openxmlformats-officedocument.drawingml.chartshapes+xml"/>
  <Override PartName="/xl/drawings/drawing127.xml" ContentType="application/vnd.openxmlformats-officedocument.drawing+xml"/>
  <Override PartName="/xl/charts/chart71.xml" ContentType="application/vnd.openxmlformats-officedocument.drawingml.chart+xml"/>
  <Override PartName="/xl/drawings/drawing128.xml" ContentType="application/vnd.openxmlformats-officedocument.drawingml.chartshapes+xml"/>
  <Override PartName="/xl/drawings/drawing129.xml" ContentType="application/vnd.openxmlformats-officedocument.drawing+xml"/>
  <Override PartName="/xl/charts/chart72.xml" ContentType="application/vnd.openxmlformats-officedocument.drawingml.chart+xml"/>
  <Override PartName="/xl/drawings/drawing130.xml" ContentType="application/vnd.openxmlformats-officedocument.drawingml.chartshapes+xml"/>
  <Override PartName="/xl/drawings/drawing131.xml" ContentType="application/vnd.openxmlformats-officedocument.drawing+xml"/>
  <Override PartName="/xl/charts/chart73.xml" ContentType="application/vnd.openxmlformats-officedocument.drawingml.chart+xml"/>
  <Override PartName="/xl/drawings/drawing13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1040" yWindow="240" windowWidth="27700" windowHeight="18740" tabRatio="790"/>
  </bookViews>
  <sheets>
    <sheet name="GlobalConnectDeviceShipments" sheetId="2" r:id="rId1"/>
    <sheet name="Shipments (2)" sheetId="3" r:id="rId2"/>
    <sheet name="Tablet and PCs" sheetId="4" r:id="rId3"/>
    <sheet name="Phablets" sheetId="5" r:id="rId4"/>
    <sheet name="BII Market Size Forecast" sheetId="6" r:id="rId5"/>
    <sheet name="Connected Car revenue forecast" sheetId="7" r:id="rId6"/>
    <sheet name="GlobalPCShipments" sheetId="8" r:id="rId7"/>
    <sheet name=" People Spend 1 Hour A Day" sheetId="9" r:id="rId8"/>
    <sheet name="Av Minutes Spent Per Inter" sheetId="10" r:id="rId9"/>
    <sheet name="consumer media share" sheetId="11" r:id="rId10"/>
    <sheet name="WhatsAppInstaSnap" sheetId="12" r:id="rId11"/>
    <sheet name="Whatsapp" sheetId="13" r:id="rId12"/>
    <sheet name="users" sheetId="14" r:id="rId13"/>
    <sheet name="OTT v. SMS" sheetId="15" r:id="rId14"/>
    <sheet name="TopPhotoSharingSites" sheetId="16" r:id="rId15"/>
    <sheet name="Snapchat (2)" sheetId="17" r:id="rId16"/>
    <sheet name="GlobalInternetTrafficMobileVDes" sheetId="18" r:id="rId17"/>
    <sheet name="Mobile Video Traffic" sheetId="19" r:id="rId18"/>
    <sheet name="MobileUsagePandoraFBTwtr" sheetId="20" r:id="rId19"/>
    <sheet name="FB ad rev (2)" sheetId="21" r:id="rId20"/>
    <sheet name="Ecommerce device traffic (2)" sheetId="22" r:id="rId21"/>
    <sheet name="M-Commerce, E-commerce Share" sheetId="23" r:id="rId22"/>
    <sheet name="RetailDigitalAudiences" sheetId="24" r:id="rId23"/>
    <sheet name="PayPal Payments (2)" sheetId="25" r:id="rId24"/>
    <sheet name="Starbucks" sheetId="26" r:id="rId25"/>
    <sheet name="Rides" sheetId="27" r:id="rId26"/>
    <sheet name="mobile app revenue" sheetId="28" r:id="rId27"/>
    <sheet name="SmartphoneFeaturePhoneLine" sheetId="29" r:id="rId28"/>
    <sheet name="u.s. penetration" sheetId="30" r:id="rId29"/>
    <sheet name="u.s. smartphone net adds (2)" sheetId="31" r:id="rId30"/>
    <sheet name="2014 Smartphone Sales" sheetId="33" r:id="rId31"/>
    <sheet name="ChineseInternetUsers" sheetId="32" r:id="rId32"/>
    <sheet name="AppsPerCapita" sheetId="34" r:id="rId33"/>
    <sheet name="SmartphoneASP" sheetId="35" r:id="rId34"/>
    <sheet name="iPhone (2)" sheetId="36" r:id="rId35"/>
    <sheet name="iPad" sheetId="37" r:id="rId36"/>
    <sheet name="Tablet shipments (2)" sheetId="38" r:id="rId37"/>
    <sheet name="TabletsSmartphones" sheetId="39" r:id="rId38"/>
    <sheet name="Global OS smartphone share (2)" sheetId="40" r:id="rId39"/>
    <sheet name="TabletMarketShare (2)" sheetId="41" r:id="rId40"/>
    <sheet name="ComputingPlatform (2)" sheetId="42" r:id="rId41"/>
    <sheet name="DevelopersMainPlatform" sheetId="43" r:id="rId42"/>
    <sheet name="Android OS frag" sheetId="44" r:id="rId43"/>
    <sheet name="USSmartphoneMarketShare" sheetId="45" r:id="rId44"/>
    <sheet name="AdRevenueShare" sheetId="46" r:id="rId45"/>
    <sheet name="ecommerce smartphone traffic" sheetId="47" r:id="rId46"/>
    <sheet name="Ad Spend vs Consumer Time" sheetId="48" r:id="rId47"/>
    <sheet name="U.S. digital &amp; mobile ad spend" sheetId="49" r:id="rId48"/>
    <sheet name="AdRevByFormat" sheetId="50" r:id="rId49"/>
    <sheet name="eCPM" sheetId="51" r:id="rId50"/>
    <sheet name="AdSpendPerSub" sheetId="52" r:id="rId51"/>
    <sheet name="GlobalAdRevByFormat" sheetId="53" r:id="rId52"/>
    <sheet name="Mobile Search Share (2)" sheetId="54" r:id="rId53"/>
    <sheet name="WearablesNextBigThing" sheetId="55" r:id="rId54"/>
    <sheet name="Wearables and Fitness Bands" sheetId="56" r:id="rId55"/>
    <sheet name="SamsungGalaxyGear" sheetId="57" r:id="rId56"/>
    <sheet name="Consumer Interest" sheetId="58" r:id="rId57"/>
    <sheet name="Interaction" sheetId="59" r:id="rId58"/>
    <sheet name="TimeSpentDaily" sheetId="60" r:id="rId59"/>
    <sheet name="ConnectedCarUnitForecast" sheetId="61" r:id="rId60"/>
    <sheet name="waze" sheetId="62" r:id="rId61"/>
    <sheet name="Sheet1" sheetId="1" r:id="rId62"/>
  </sheets>
  <definedNames>
    <definedName name="___1_1000" hidden="1">#NAME?</definedName>
    <definedName name="___10_750" hidden="1">#NAME?</definedName>
    <definedName name="___2_150" hidden="1">#NAME?</definedName>
    <definedName name="___3_175" hidden="1">#NAME?</definedName>
    <definedName name="___4_200" hidden="1">#NAME?</definedName>
    <definedName name="___5_250" hidden="1">#NAME?</definedName>
    <definedName name="___6_300" hidden="1">#NAME?</definedName>
    <definedName name="___7_400" hidden="1">#NAME?</definedName>
    <definedName name="___8_600" hidden="1">#NAME?</definedName>
    <definedName name="___9_700" hidden="1">#NAME?</definedName>
    <definedName name="__1_1000" hidden="1">#NAME?</definedName>
    <definedName name="__1_10635.553" hidden="1">#NAME?</definedName>
    <definedName name="__10_750" hidden="1">#NAME?</definedName>
    <definedName name="__2_150" hidden="1">#NAME?</definedName>
    <definedName name="__2_6030.14" hidden="1">#NAME?</definedName>
    <definedName name="__3_175" hidden="1">#NAME?</definedName>
    <definedName name="__3_8698.021" hidden="1">#NAME?</definedName>
    <definedName name="__4_200" hidden="1">#NAME?</definedName>
    <definedName name="__5_250" hidden="1">#NAME?</definedName>
    <definedName name="__6_300" hidden="1">#NAME?</definedName>
    <definedName name="__7_400" hidden="1">#NAME?</definedName>
    <definedName name="__8_600" hidden="1">#NAME?</definedName>
    <definedName name="__9_700" hidden="1">#NAME?</definedName>
    <definedName name="_1_1000" hidden="1">#NAME?</definedName>
    <definedName name="_1_10635.553" hidden="1">#NAME?</definedName>
    <definedName name="_10_750" hidden="1">#NAME?</definedName>
    <definedName name="_2_150" hidden="1">#NAME?</definedName>
    <definedName name="_2_6030.14" hidden="1">#NAME?</definedName>
    <definedName name="_3_175" hidden="1">#NAME?</definedName>
    <definedName name="_3_8698.021" hidden="1">#NAME?</definedName>
    <definedName name="_4_200" hidden="1">#NAME?</definedName>
    <definedName name="_5_250" hidden="1">#NAME?</definedName>
    <definedName name="_6_300" hidden="1">#NAME?</definedName>
    <definedName name="_7_400" hidden="1">#NAME?</definedName>
    <definedName name="_8_600" hidden="1">#NAME?</definedName>
    <definedName name="_9_700" hidden="1">#NAME?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62" l="1"/>
  <c r="I7" i="62"/>
  <c r="L15" i="61"/>
  <c r="K15" i="61"/>
  <c r="J15" i="61"/>
  <c r="I15" i="61"/>
  <c r="H15" i="61"/>
  <c r="G15" i="61"/>
  <c r="F15" i="61"/>
  <c r="E15" i="61"/>
  <c r="D15" i="61"/>
  <c r="C15" i="61"/>
  <c r="B10" i="60"/>
  <c r="E9" i="57"/>
  <c r="C8" i="57"/>
  <c r="E3" i="57"/>
  <c r="E5" i="57"/>
  <c r="E6" i="57"/>
  <c r="E7" i="57"/>
  <c r="F6" i="57"/>
  <c r="G6" i="57"/>
  <c r="B9" i="53"/>
  <c r="B12" i="53"/>
  <c r="F9" i="53"/>
  <c r="F10" i="53"/>
  <c r="E9" i="53"/>
  <c r="E10" i="53"/>
  <c r="D9" i="53"/>
  <c r="D10" i="53"/>
  <c r="C9" i="53"/>
  <c r="F8" i="53"/>
  <c r="E8" i="53"/>
  <c r="D8" i="53"/>
  <c r="C8" i="53"/>
  <c r="F7" i="53"/>
  <c r="E7" i="53"/>
  <c r="D7" i="53"/>
  <c r="C7" i="53"/>
  <c r="F6" i="53"/>
  <c r="E6" i="53"/>
  <c r="D6" i="53"/>
  <c r="C6" i="53"/>
  <c r="F5" i="53"/>
  <c r="E5" i="53"/>
  <c r="D5" i="53"/>
  <c r="C5" i="53"/>
  <c r="F4" i="53"/>
  <c r="E4" i="53"/>
  <c r="D4" i="53"/>
  <c r="C4" i="53"/>
  <c r="F3" i="53"/>
  <c r="E3" i="53"/>
  <c r="D3" i="53"/>
  <c r="F6" i="52"/>
  <c r="F22" i="52"/>
  <c r="E22" i="52"/>
  <c r="F21" i="52"/>
  <c r="E21" i="52"/>
  <c r="M20" i="52"/>
  <c r="L20" i="52"/>
  <c r="K20" i="52"/>
  <c r="F20" i="52"/>
  <c r="E20" i="52"/>
  <c r="F19" i="52"/>
  <c r="E19" i="52"/>
  <c r="F18" i="52"/>
  <c r="E18" i="52"/>
  <c r="F17" i="52"/>
  <c r="E17" i="52"/>
  <c r="C12" i="50"/>
  <c r="B12" i="50"/>
  <c r="S18" i="49"/>
  <c r="S15" i="49"/>
  <c r="R15" i="49"/>
  <c r="AK14" i="49"/>
  <c r="AI14" i="49"/>
  <c r="R10" i="49"/>
  <c r="S10" i="49"/>
  <c r="S14" i="49"/>
  <c r="R14" i="49"/>
  <c r="AK13" i="49"/>
  <c r="AI13" i="49"/>
  <c r="AC13" i="49"/>
  <c r="AA13" i="49"/>
  <c r="S13" i="49"/>
  <c r="R13" i="49"/>
  <c r="Q13" i="49"/>
  <c r="P13" i="49"/>
  <c r="O13" i="49"/>
  <c r="N10" i="49"/>
  <c r="N13" i="49"/>
  <c r="M10" i="49"/>
  <c r="M13" i="49"/>
  <c r="L11" i="49"/>
  <c r="L10" i="49"/>
  <c r="L13" i="49"/>
  <c r="K10" i="49"/>
  <c r="K13" i="49"/>
  <c r="J10" i="49"/>
  <c r="J13" i="49"/>
  <c r="I10" i="49"/>
  <c r="I13" i="49"/>
  <c r="B10" i="49"/>
  <c r="B13" i="49"/>
  <c r="AJ12" i="49"/>
  <c r="AK12" i="49"/>
  <c r="AH12" i="49"/>
  <c r="AI12" i="49"/>
  <c r="V12" i="49"/>
  <c r="U12" i="49"/>
  <c r="T12" i="49"/>
  <c r="V11" i="49"/>
  <c r="U11" i="49"/>
  <c r="T11" i="49"/>
  <c r="V10" i="49"/>
  <c r="U10" i="49"/>
  <c r="T10" i="49"/>
  <c r="H10" i="49"/>
  <c r="G10" i="49"/>
  <c r="F10" i="49"/>
  <c r="E10" i="49"/>
  <c r="D10" i="49"/>
  <c r="C10" i="49"/>
  <c r="Q9" i="49"/>
  <c r="P9" i="49"/>
  <c r="O9" i="49"/>
  <c r="N9" i="49"/>
  <c r="J9" i="49"/>
  <c r="I9" i="49"/>
  <c r="H9" i="49"/>
  <c r="G9" i="49"/>
  <c r="F9" i="49"/>
  <c r="E9" i="49"/>
  <c r="D9" i="49"/>
  <c r="C9" i="49"/>
  <c r="B9" i="49"/>
  <c r="N10" i="47"/>
  <c r="N29" i="47"/>
  <c r="N30" i="47"/>
  <c r="N31" i="47"/>
  <c r="M10" i="47"/>
  <c r="M29" i="47"/>
  <c r="M30" i="47"/>
  <c r="M31" i="47"/>
  <c r="L10" i="47"/>
  <c r="L29" i="47"/>
  <c r="L30" i="47"/>
  <c r="L31" i="47"/>
  <c r="K10" i="47"/>
  <c r="K29" i="47"/>
  <c r="K30" i="47"/>
  <c r="K31" i="47"/>
  <c r="J10" i="47"/>
  <c r="J29" i="47"/>
  <c r="J30" i="47"/>
  <c r="J31" i="47"/>
  <c r="I10" i="47"/>
  <c r="I29" i="47"/>
  <c r="I30" i="47"/>
  <c r="I31" i="47"/>
  <c r="H10" i="47"/>
  <c r="H29" i="47"/>
  <c r="H30" i="47"/>
  <c r="H31" i="47"/>
  <c r="G10" i="47"/>
  <c r="G29" i="47"/>
  <c r="G30" i="47"/>
  <c r="G31" i="47"/>
  <c r="F10" i="47"/>
  <c r="F29" i="47"/>
  <c r="F30" i="47"/>
  <c r="F31" i="47"/>
  <c r="E10" i="47"/>
  <c r="E29" i="47"/>
  <c r="E30" i="47"/>
  <c r="E31" i="47"/>
  <c r="N23" i="47"/>
  <c r="N24" i="47"/>
  <c r="N25" i="47"/>
  <c r="N26" i="47"/>
  <c r="N27" i="47"/>
  <c r="N28" i="47"/>
  <c r="M23" i="47"/>
  <c r="M24" i="47"/>
  <c r="M25" i="47"/>
  <c r="M26" i="47"/>
  <c r="M27" i="47"/>
  <c r="M28" i="47"/>
  <c r="L23" i="47"/>
  <c r="L24" i="47"/>
  <c r="L25" i="47"/>
  <c r="L26" i="47"/>
  <c r="L27" i="47"/>
  <c r="L28" i="47"/>
  <c r="K23" i="47"/>
  <c r="K24" i="47"/>
  <c r="K25" i="47"/>
  <c r="K26" i="47"/>
  <c r="K27" i="47"/>
  <c r="K28" i="47"/>
  <c r="J23" i="47"/>
  <c r="J24" i="47"/>
  <c r="J25" i="47"/>
  <c r="J26" i="47"/>
  <c r="J27" i="47"/>
  <c r="J28" i="47"/>
  <c r="I23" i="47"/>
  <c r="I24" i="47"/>
  <c r="I25" i="47"/>
  <c r="I26" i="47"/>
  <c r="I27" i="47"/>
  <c r="I28" i="47"/>
  <c r="H23" i="47"/>
  <c r="H24" i="47"/>
  <c r="H25" i="47"/>
  <c r="H26" i="47"/>
  <c r="H27" i="47"/>
  <c r="H28" i="47"/>
  <c r="G23" i="47"/>
  <c r="G24" i="47"/>
  <c r="G25" i="47"/>
  <c r="G26" i="47"/>
  <c r="G27" i="47"/>
  <c r="G28" i="47"/>
  <c r="F23" i="47"/>
  <c r="F24" i="47"/>
  <c r="F25" i="47"/>
  <c r="F26" i="47"/>
  <c r="F27" i="47"/>
  <c r="F28" i="47"/>
  <c r="E23" i="47"/>
  <c r="E24" i="47"/>
  <c r="E25" i="47"/>
  <c r="E26" i="47"/>
  <c r="E27" i="47"/>
  <c r="E28" i="47"/>
  <c r="L15" i="47"/>
  <c r="K15" i="47"/>
  <c r="J15" i="47"/>
  <c r="I15" i="47"/>
  <c r="H15" i="47"/>
  <c r="G15" i="47"/>
  <c r="F15" i="47"/>
  <c r="E15" i="47"/>
  <c r="N11" i="47"/>
  <c r="M11" i="47"/>
  <c r="L11" i="47"/>
  <c r="K11" i="47"/>
  <c r="J11" i="47"/>
  <c r="I11" i="47"/>
  <c r="I7" i="47"/>
  <c r="H7" i="47"/>
  <c r="G7" i="47"/>
  <c r="F7" i="47"/>
  <c r="I63" i="46"/>
  <c r="H63" i="46"/>
  <c r="I62" i="46"/>
  <c r="H62" i="46"/>
  <c r="I61" i="46"/>
  <c r="H61" i="46"/>
  <c r="I60" i="46"/>
  <c r="H60" i="46"/>
  <c r="I59" i="46"/>
  <c r="H59" i="46"/>
  <c r="I58" i="46"/>
  <c r="H58" i="46"/>
  <c r="I57" i="46"/>
  <c r="H57" i="46"/>
  <c r="I55" i="46"/>
  <c r="H55" i="46"/>
  <c r="G55" i="46"/>
  <c r="F55" i="46"/>
  <c r="E55" i="46"/>
  <c r="D55" i="46"/>
  <c r="C55" i="46"/>
  <c r="I54" i="46"/>
  <c r="H54" i="46"/>
  <c r="G54" i="46"/>
  <c r="F54" i="46"/>
  <c r="E54" i="46"/>
  <c r="D54" i="46"/>
  <c r="C54" i="46"/>
  <c r="I53" i="46"/>
  <c r="H53" i="46"/>
  <c r="I52" i="46"/>
  <c r="H52" i="46"/>
  <c r="I31" i="46"/>
  <c r="H31" i="46"/>
  <c r="G31" i="46"/>
  <c r="F31" i="46"/>
  <c r="E31" i="46"/>
  <c r="D31" i="46"/>
  <c r="C31" i="46"/>
  <c r="I30" i="46"/>
  <c r="H30" i="46"/>
  <c r="G30" i="46"/>
  <c r="F30" i="46"/>
  <c r="I29" i="46"/>
  <c r="H29" i="46"/>
  <c r="G29" i="46"/>
  <c r="F29" i="46"/>
  <c r="E29" i="46"/>
  <c r="D29" i="46"/>
  <c r="C29" i="46"/>
  <c r="I28" i="46"/>
  <c r="H28" i="46"/>
  <c r="G28" i="46"/>
  <c r="C28" i="46"/>
  <c r="I27" i="46"/>
  <c r="H27" i="46"/>
  <c r="G27" i="46"/>
  <c r="F27" i="46"/>
  <c r="E27" i="46"/>
  <c r="D27" i="46"/>
  <c r="I26" i="46"/>
  <c r="H26" i="46"/>
  <c r="G26" i="46"/>
  <c r="F26" i="46"/>
  <c r="E26" i="46"/>
  <c r="D26" i="46"/>
  <c r="C26" i="46"/>
  <c r="I25" i="46"/>
  <c r="H25" i="46"/>
  <c r="G25" i="46"/>
  <c r="F25" i="46"/>
  <c r="E25" i="46"/>
  <c r="D25" i="46"/>
  <c r="C25" i="46"/>
  <c r="H21" i="46"/>
  <c r="G21" i="46"/>
  <c r="F21" i="46"/>
  <c r="E21" i="46"/>
  <c r="D21" i="46"/>
  <c r="C21" i="46"/>
  <c r="H20" i="46"/>
  <c r="G20" i="46"/>
  <c r="F20" i="46"/>
  <c r="E20" i="46"/>
  <c r="D20" i="46"/>
  <c r="C20" i="46"/>
  <c r="H19" i="46"/>
  <c r="H18" i="46"/>
  <c r="G14" i="46"/>
  <c r="AY19" i="45"/>
  <c r="AY18" i="45"/>
  <c r="AY17" i="45"/>
  <c r="AY16" i="45"/>
  <c r="AY15" i="45"/>
  <c r="AX13" i="45"/>
  <c r="G25" i="44"/>
  <c r="G27" i="44"/>
  <c r="F25" i="44"/>
  <c r="F27" i="44"/>
  <c r="E21" i="44"/>
  <c r="E22" i="44"/>
  <c r="E23" i="44"/>
  <c r="E24" i="44"/>
  <c r="E25" i="44"/>
  <c r="E27" i="44"/>
  <c r="D21" i="44"/>
  <c r="D22" i="44"/>
  <c r="D23" i="44"/>
  <c r="D24" i="44"/>
  <c r="D25" i="44"/>
  <c r="D27" i="44"/>
  <c r="C21" i="44"/>
  <c r="C22" i="44"/>
  <c r="C23" i="44"/>
  <c r="C24" i="44"/>
  <c r="C25" i="44"/>
  <c r="C27" i="44"/>
  <c r="B21" i="44"/>
  <c r="B22" i="44"/>
  <c r="B23" i="44"/>
  <c r="B24" i="44"/>
  <c r="B25" i="44"/>
  <c r="B27" i="44"/>
  <c r="E19" i="44"/>
  <c r="D19" i="44"/>
  <c r="C19" i="44"/>
  <c r="B19" i="44"/>
  <c r="E15" i="44"/>
  <c r="D15" i="44"/>
  <c r="C15" i="44"/>
  <c r="B15" i="44"/>
  <c r="V25" i="42"/>
  <c r="V21" i="42"/>
  <c r="V22" i="42"/>
  <c r="V23" i="42"/>
  <c r="V24" i="42"/>
  <c r="V26" i="42"/>
  <c r="V28" i="42"/>
  <c r="V38" i="42"/>
  <c r="V39" i="42"/>
  <c r="V40" i="42"/>
  <c r="V41" i="42"/>
  <c r="U25" i="42"/>
  <c r="U21" i="42"/>
  <c r="U22" i="42"/>
  <c r="U23" i="42"/>
  <c r="U24" i="42"/>
  <c r="U26" i="42"/>
  <c r="U28" i="42"/>
  <c r="U38" i="42"/>
  <c r="U39" i="42"/>
  <c r="U40" i="42"/>
  <c r="U41" i="42"/>
  <c r="T25" i="42"/>
  <c r="T21" i="42"/>
  <c r="T22" i="42"/>
  <c r="T23" i="42"/>
  <c r="T24" i="42"/>
  <c r="T26" i="42"/>
  <c r="T28" i="42"/>
  <c r="T38" i="42"/>
  <c r="T39" i="42"/>
  <c r="T40" i="42"/>
  <c r="T41" i="42"/>
  <c r="S25" i="42"/>
  <c r="S21" i="42"/>
  <c r="S22" i="42"/>
  <c r="S23" i="42"/>
  <c r="S24" i="42"/>
  <c r="S26" i="42"/>
  <c r="S28" i="42"/>
  <c r="S38" i="42"/>
  <c r="S39" i="42"/>
  <c r="S40" i="42"/>
  <c r="S41" i="42"/>
  <c r="R25" i="42"/>
  <c r="R21" i="42"/>
  <c r="R22" i="42"/>
  <c r="R23" i="42"/>
  <c r="R24" i="42"/>
  <c r="R26" i="42"/>
  <c r="R27" i="42"/>
  <c r="R28" i="42"/>
  <c r="R38" i="42"/>
  <c r="R39" i="42"/>
  <c r="R40" i="42"/>
  <c r="R41" i="42"/>
  <c r="Q25" i="42"/>
  <c r="Q21" i="42"/>
  <c r="Q22" i="42"/>
  <c r="Q23" i="42"/>
  <c r="Q24" i="42"/>
  <c r="Q26" i="42"/>
  <c r="Q27" i="42"/>
  <c r="Q28" i="42"/>
  <c r="Q38" i="42"/>
  <c r="Q39" i="42"/>
  <c r="Q40" i="42"/>
  <c r="Q41" i="42"/>
  <c r="P25" i="42"/>
  <c r="P21" i="42"/>
  <c r="P22" i="42"/>
  <c r="P23" i="42"/>
  <c r="P24" i="42"/>
  <c r="P26" i="42"/>
  <c r="P27" i="42"/>
  <c r="P28" i="42"/>
  <c r="P38" i="42"/>
  <c r="P39" i="42"/>
  <c r="P40" i="42"/>
  <c r="P41" i="42"/>
  <c r="O25" i="42"/>
  <c r="O21" i="42"/>
  <c r="O22" i="42"/>
  <c r="O23" i="42"/>
  <c r="O24" i="42"/>
  <c r="O26" i="42"/>
  <c r="O28" i="42"/>
  <c r="O38" i="42"/>
  <c r="O39" i="42"/>
  <c r="O40" i="42"/>
  <c r="O41" i="42"/>
  <c r="N25" i="42"/>
  <c r="N21" i="42"/>
  <c r="N22" i="42"/>
  <c r="N23" i="42"/>
  <c r="N24" i="42"/>
  <c r="N26" i="42"/>
  <c r="N28" i="42"/>
  <c r="N38" i="42"/>
  <c r="N39" i="42"/>
  <c r="N40" i="42"/>
  <c r="N41" i="42"/>
  <c r="M25" i="42"/>
  <c r="M21" i="42"/>
  <c r="M22" i="42"/>
  <c r="M23" i="42"/>
  <c r="M24" i="42"/>
  <c r="M26" i="42"/>
  <c r="M28" i="42"/>
  <c r="M38" i="42"/>
  <c r="M39" i="42"/>
  <c r="M40" i="42"/>
  <c r="M41" i="42"/>
  <c r="L25" i="42"/>
  <c r="L21" i="42"/>
  <c r="L22" i="42"/>
  <c r="L23" i="42"/>
  <c r="L24" i="42"/>
  <c r="L26" i="42"/>
  <c r="L28" i="42"/>
  <c r="L38" i="42"/>
  <c r="L39" i="42"/>
  <c r="L40" i="42"/>
  <c r="L41" i="42"/>
  <c r="K25" i="42"/>
  <c r="K21" i="42"/>
  <c r="K22" i="42"/>
  <c r="K23" i="42"/>
  <c r="K24" i="42"/>
  <c r="K26" i="42"/>
  <c r="K28" i="42"/>
  <c r="K38" i="42"/>
  <c r="K39" i="42"/>
  <c r="K40" i="42"/>
  <c r="K41" i="42"/>
  <c r="J25" i="42"/>
  <c r="J21" i="42"/>
  <c r="J22" i="42"/>
  <c r="J23" i="42"/>
  <c r="J24" i="42"/>
  <c r="J26" i="42"/>
  <c r="J28" i="42"/>
  <c r="J38" i="42"/>
  <c r="J39" i="42"/>
  <c r="J40" i="42"/>
  <c r="J41" i="42"/>
  <c r="I25" i="42"/>
  <c r="I21" i="42"/>
  <c r="I22" i="42"/>
  <c r="I23" i="42"/>
  <c r="I24" i="42"/>
  <c r="I26" i="42"/>
  <c r="I28" i="42"/>
  <c r="I38" i="42"/>
  <c r="I39" i="42"/>
  <c r="I40" i="42"/>
  <c r="I41" i="42"/>
  <c r="H25" i="42"/>
  <c r="H21" i="42"/>
  <c r="H22" i="42"/>
  <c r="H23" i="42"/>
  <c r="H24" i="42"/>
  <c r="H26" i="42"/>
  <c r="H28" i="42"/>
  <c r="H38" i="42"/>
  <c r="H39" i="42"/>
  <c r="H40" i="42"/>
  <c r="H41" i="42"/>
  <c r="G25" i="42"/>
  <c r="G21" i="42"/>
  <c r="G22" i="42"/>
  <c r="G23" i="42"/>
  <c r="G24" i="42"/>
  <c r="G26" i="42"/>
  <c r="G28" i="42"/>
  <c r="G38" i="42"/>
  <c r="G39" i="42"/>
  <c r="G40" i="42"/>
  <c r="G41" i="42"/>
  <c r="F25" i="42"/>
  <c r="F21" i="42"/>
  <c r="F22" i="42"/>
  <c r="F23" i="42"/>
  <c r="F24" i="42"/>
  <c r="F26" i="42"/>
  <c r="F28" i="42"/>
  <c r="F38" i="42"/>
  <c r="F39" i="42"/>
  <c r="F40" i="42"/>
  <c r="F41" i="42"/>
  <c r="E25" i="42"/>
  <c r="E21" i="42"/>
  <c r="E22" i="42"/>
  <c r="E23" i="42"/>
  <c r="E24" i="42"/>
  <c r="E26" i="42"/>
  <c r="E28" i="42"/>
  <c r="E38" i="42"/>
  <c r="E39" i="42"/>
  <c r="E40" i="42"/>
  <c r="E41" i="42"/>
  <c r="D25" i="42"/>
  <c r="D21" i="42"/>
  <c r="D22" i="42"/>
  <c r="D23" i="42"/>
  <c r="D24" i="42"/>
  <c r="D26" i="42"/>
  <c r="D28" i="42"/>
  <c r="D38" i="42"/>
  <c r="D39" i="42"/>
  <c r="D40" i="42"/>
  <c r="D41" i="42"/>
  <c r="C25" i="42"/>
  <c r="C21" i="42"/>
  <c r="C22" i="42"/>
  <c r="C23" i="42"/>
  <c r="C24" i="42"/>
  <c r="C26" i="42"/>
  <c r="C28" i="42"/>
  <c r="C38" i="42"/>
  <c r="C39" i="42"/>
  <c r="C40" i="42"/>
  <c r="C41" i="42"/>
  <c r="V37" i="42"/>
  <c r="U37" i="42"/>
  <c r="T37" i="42"/>
  <c r="S37" i="42"/>
  <c r="R37" i="42"/>
  <c r="Q37" i="42"/>
  <c r="P37" i="42"/>
  <c r="O37" i="42"/>
  <c r="N37" i="42"/>
  <c r="M37" i="42"/>
  <c r="L37" i="42"/>
  <c r="K37" i="42"/>
  <c r="J37" i="42"/>
  <c r="I37" i="42"/>
  <c r="H37" i="42"/>
  <c r="G37" i="42"/>
  <c r="F37" i="42"/>
  <c r="E37" i="42"/>
  <c r="D37" i="42"/>
  <c r="C37" i="42"/>
  <c r="V36" i="42"/>
  <c r="U36" i="42"/>
  <c r="T36" i="42"/>
  <c r="S36" i="42"/>
  <c r="R36" i="42"/>
  <c r="Q36" i="42"/>
  <c r="P36" i="42"/>
  <c r="O36" i="42"/>
  <c r="N36" i="42"/>
  <c r="M36" i="42"/>
  <c r="L36" i="42"/>
  <c r="K36" i="42"/>
  <c r="J36" i="42"/>
  <c r="I36" i="42"/>
  <c r="H36" i="42"/>
  <c r="G36" i="42"/>
  <c r="F36" i="42"/>
  <c r="E36" i="42"/>
  <c r="D36" i="42"/>
  <c r="C36" i="42"/>
  <c r="V35" i="42"/>
  <c r="U35" i="42"/>
  <c r="T35" i="42"/>
  <c r="S35" i="42"/>
  <c r="R35" i="42"/>
  <c r="Q35" i="42"/>
  <c r="P35" i="42"/>
  <c r="O35" i="42"/>
  <c r="N35" i="42"/>
  <c r="M35" i="42"/>
  <c r="L35" i="42"/>
  <c r="K35" i="42"/>
  <c r="J35" i="42"/>
  <c r="I35" i="42"/>
  <c r="H35" i="42"/>
  <c r="G35" i="42"/>
  <c r="F35" i="42"/>
  <c r="E35" i="42"/>
  <c r="D35" i="42"/>
  <c r="C35" i="42"/>
  <c r="V34" i="42"/>
  <c r="U34" i="42"/>
  <c r="T34" i="42"/>
  <c r="S34" i="42"/>
  <c r="R34" i="42"/>
  <c r="Q34" i="42"/>
  <c r="P34" i="42"/>
  <c r="O34" i="42"/>
  <c r="N34" i="42"/>
  <c r="M34" i="42"/>
  <c r="L34" i="42"/>
  <c r="K34" i="42"/>
  <c r="J34" i="42"/>
  <c r="I34" i="42"/>
  <c r="H34" i="42"/>
  <c r="G34" i="42"/>
  <c r="F34" i="42"/>
  <c r="E34" i="42"/>
  <c r="D34" i="42"/>
  <c r="C34" i="42"/>
  <c r="V33" i="42"/>
  <c r="U33" i="42"/>
  <c r="T33" i="42"/>
  <c r="S33" i="42"/>
  <c r="R33" i="42"/>
  <c r="Q33" i="42"/>
  <c r="P33" i="42"/>
  <c r="O33" i="42"/>
  <c r="N33" i="42"/>
  <c r="M33" i="42"/>
  <c r="L33" i="42"/>
  <c r="K33" i="42"/>
  <c r="J33" i="42"/>
  <c r="I33" i="42"/>
  <c r="H33" i="42"/>
  <c r="G33" i="42"/>
  <c r="F33" i="42"/>
  <c r="E33" i="42"/>
  <c r="D33" i="42"/>
  <c r="C33" i="42"/>
  <c r="Q9" i="41"/>
  <c r="Q16" i="41"/>
  <c r="P9" i="41"/>
  <c r="P16" i="41"/>
  <c r="O7" i="41"/>
  <c r="O9" i="41"/>
  <c r="O16" i="41"/>
  <c r="N9" i="41"/>
  <c r="N16" i="41"/>
  <c r="M8" i="41"/>
  <c r="M3" i="41"/>
  <c r="M9" i="41"/>
  <c r="M16" i="41"/>
  <c r="L7" i="41"/>
  <c r="L9" i="41"/>
  <c r="L16" i="41"/>
  <c r="K3" i="41"/>
  <c r="K9" i="41"/>
  <c r="K16" i="41"/>
  <c r="J7" i="41"/>
  <c r="J9" i="41"/>
  <c r="J16" i="41"/>
  <c r="I9" i="41"/>
  <c r="I16" i="41"/>
  <c r="H9" i="41"/>
  <c r="H16" i="41"/>
  <c r="G3" i="41"/>
  <c r="G9" i="41"/>
  <c r="G16" i="41"/>
  <c r="F3" i="41"/>
  <c r="F9" i="41"/>
  <c r="F16" i="41"/>
  <c r="E3" i="41"/>
  <c r="E9" i="41"/>
  <c r="E16" i="41"/>
  <c r="D9" i="41"/>
  <c r="D16" i="41"/>
  <c r="C9" i="41"/>
  <c r="C16" i="41"/>
  <c r="Q15" i="41"/>
  <c r="P15" i="41"/>
  <c r="O15" i="41"/>
  <c r="N15" i="41"/>
  <c r="M15" i="41"/>
  <c r="L15" i="41"/>
  <c r="K15" i="41"/>
  <c r="J15" i="41"/>
  <c r="I15" i="41"/>
  <c r="H15" i="41"/>
  <c r="G15" i="41"/>
  <c r="F15" i="41"/>
  <c r="E15" i="41"/>
  <c r="D15" i="41"/>
  <c r="C15" i="41"/>
  <c r="Q14" i="41"/>
  <c r="P14" i="41"/>
  <c r="O14" i="41"/>
  <c r="N14" i="41"/>
  <c r="M14" i="41"/>
  <c r="L14" i="41"/>
  <c r="K14" i="41"/>
  <c r="J14" i="41"/>
  <c r="I14" i="41"/>
  <c r="H14" i="41"/>
  <c r="G14" i="41"/>
  <c r="F14" i="41"/>
  <c r="E14" i="41"/>
  <c r="D14" i="41"/>
  <c r="C14" i="41"/>
  <c r="Q13" i="41"/>
  <c r="P13" i="41"/>
  <c r="O13" i="41"/>
  <c r="N13" i="41"/>
  <c r="M13" i="41"/>
  <c r="L13" i="41"/>
  <c r="K13" i="41"/>
  <c r="J13" i="41"/>
  <c r="I13" i="41"/>
  <c r="H13" i="41"/>
  <c r="G13" i="41"/>
  <c r="F13" i="41"/>
  <c r="E13" i="41"/>
  <c r="D13" i="41"/>
  <c r="C13" i="41"/>
  <c r="Q12" i="41"/>
  <c r="P12" i="41"/>
  <c r="O12" i="41"/>
  <c r="N12" i="41"/>
  <c r="M12" i="41"/>
  <c r="L12" i="41"/>
  <c r="K12" i="41"/>
  <c r="J12" i="41"/>
  <c r="I12" i="41"/>
  <c r="H12" i="41"/>
  <c r="G12" i="41"/>
  <c r="F12" i="41"/>
  <c r="E12" i="41"/>
  <c r="D12" i="41"/>
  <c r="C12" i="41"/>
  <c r="Q11" i="41"/>
  <c r="P11" i="41"/>
  <c r="O11" i="41"/>
  <c r="N11" i="41"/>
  <c r="M11" i="41"/>
  <c r="L11" i="41"/>
  <c r="K11" i="41"/>
  <c r="J11" i="41"/>
  <c r="I11" i="41"/>
  <c r="H11" i="41"/>
  <c r="G11" i="41"/>
  <c r="F11" i="41"/>
  <c r="E11" i="41"/>
  <c r="D11" i="41"/>
  <c r="C11" i="41"/>
  <c r="Q10" i="41"/>
  <c r="R5" i="41"/>
  <c r="B40" i="40"/>
  <c r="S4" i="40"/>
  <c r="S5" i="40"/>
  <c r="S8" i="40"/>
  <c r="S10" i="40"/>
  <c r="S11" i="40"/>
  <c r="R6" i="40"/>
  <c r="R11" i="40"/>
  <c r="T10" i="40"/>
  <c r="Q9" i="40"/>
  <c r="P9" i="40"/>
  <c r="O9" i="40"/>
  <c r="N9" i="40"/>
  <c r="M9" i="40"/>
  <c r="L9" i="40"/>
  <c r="K9" i="40"/>
  <c r="J9" i="40"/>
  <c r="I9" i="40"/>
  <c r="H9" i="40"/>
  <c r="G9" i="40"/>
  <c r="F9" i="40"/>
  <c r="E9" i="40"/>
  <c r="D9" i="40"/>
  <c r="C9" i="40"/>
  <c r="Q6" i="40"/>
  <c r="P6" i="40"/>
  <c r="O6" i="40"/>
  <c r="N6" i="40"/>
  <c r="M6" i="40"/>
  <c r="L6" i="40"/>
  <c r="K6" i="40"/>
  <c r="J6" i="40"/>
  <c r="I6" i="40"/>
  <c r="H6" i="40"/>
  <c r="G6" i="40"/>
  <c r="F6" i="40"/>
  <c r="E6" i="40"/>
  <c r="D6" i="40"/>
  <c r="C6" i="40"/>
  <c r="T5" i="40"/>
  <c r="T4" i="40"/>
  <c r="S11" i="38"/>
  <c r="T9" i="38"/>
  <c r="T11" i="38"/>
  <c r="U11" i="38"/>
  <c r="V11" i="38"/>
  <c r="W11" i="38"/>
  <c r="O9" i="38"/>
  <c r="O11" i="38"/>
  <c r="P5" i="38"/>
  <c r="P11" i="38"/>
  <c r="Q9" i="38"/>
  <c r="Q11" i="38"/>
  <c r="R5" i="38"/>
  <c r="R10" i="38"/>
  <c r="R11" i="38"/>
  <c r="R13" i="38"/>
  <c r="R14" i="38"/>
  <c r="V12" i="38"/>
  <c r="U12" i="38"/>
  <c r="T12" i="38"/>
  <c r="S12" i="38"/>
  <c r="N11" i="38"/>
  <c r="R12" i="38"/>
  <c r="M11" i="38"/>
  <c r="Q12" i="38"/>
  <c r="L5" i="38"/>
  <c r="L11" i="38"/>
  <c r="K5" i="38"/>
  <c r="K11" i="38"/>
  <c r="J5" i="38"/>
  <c r="J11" i="38"/>
  <c r="I11" i="38"/>
  <c r="H11" i="38"/>
  <c r="G11" i="38"/>
  <c r="F11" i="38"/>
  <c r="E11" i="38"/>
  <c r="D11" i="38"/>
  <c r="C11" i="38"/>
  <c r="Y5" i="38"/>
  <c r="V4" i="38"/>
  <c r="AE40" i="37"/>
  <c r="AD40" i="37"/>
  <c r="AB40" i="37"/>
  <c r="AA40" i="37"/>
  <c r="Z40" i="37"/>
  <c r="Y40" i="37"/>
  <c r="X40" i="37"/>
  <c r="W40" i="37"/>
  <c r="V40" i="37"/>
  <c r="U40" i="37"/>
  <c r="AB39" i="37"/>
  <c r="AA39" i="37"/>
  <c r="Z39" i="37"/>
  <c r="Y39" i="37"/>
  <c r="X39" i="37"/>
  <c r="W39" i="37"/>
  <c r="V39" i="37"/>
  <c r="U39" i="37"/>
  <c r="T39" i="37"/>
  <c r="S39" i="37"/>
  <c r="R39" i="37"/>
  <c r="Q39" i="37"/>
  <c r="P39" i="37"/>
  <c r="O39" i="37"/>
  <c r="N39" i="37"/>
  <c r="M39" i="37"/>
  <c r="L39" i="37"/>
  <c r="K39" i="37"/>
  <c r="J39" i="37"/>
  <c r="I39" i="37"/>
  <c r="Y37" i="37"/>
  <c r="X37" i="37"/>
  <c r="W37" i="37"/>
  <c r="V37" i="37"/>
  <c r="U37" i="37"/>
  <c r="T37" i="37"/>
  <c r="S37" i="37"/>
  <c r="R37" i="37"/>
  <c r="Q37" i="37"/>
  <c r="AB34" i="37"/>
  <c r="AA34" i="37"/>
  <c r="AB36" i="37"/>
  <c r="Z34" i="37"/>
  <c r="AA36" i="37"/>
  <c r="Y36" i="37"/>
  <c r="X36" i="37"/>
  <c r="W36" i="37"/>
  <c r="V36" i="37"/>
  <c r="U36" i="37"/>
  <c r="T36" i="37"/>
  <c r="S36" i="37"/>
  <c r="R36" i="37"/>
  <c r="Q36" i="37"/>
  <c r="AB35" i="37"/>
  <c r="AA35" i="37"/>
  <c r="Z35" i="37"/>
  <c r="Y35" i="37"/>
  <c r="X35" i="37"/>
  <c r="W35" i="37"/>
  <c r="V35" i="37"/>
  <c r="U35" i="37"/>
  <c r="Y34" i="37"/>
  <c r="X34" i="37"/>
  <c r="W34" i="37"/>
  <c r="V34" i="37"/>
  <c r="U34" i="37"/>
  <c r="T34" i="37"/>
  <c r="S34" i="37"/>
  <c r="R34" i="37"/>
  <c r="Q34" i="37"/>
  <c r="Y30" i="37"/>
  <c r="X30" i="37"/>
  <c r="W30" i="37"/>
  <c r="V30" i="37"/>
  <c r="U30" i="37"/>
  <c r="T30" i="37"/>
  <c r="S30" i="37"/>
  <c r="R30" i="37"/>
  <c r="Q30" i="37"/>
  <c r="Y25" i="37"/>
  <c r="X25" i="37"/>
  <c r="W25" i="37"/>
  <c r="V25" i="37"/>
  <c r="U25" i="37"/>
  <c r="T25" i="37"/>
  <c r="S25" i="37"/>
  <c r="R25" i="37"/>
  <c r="Q25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AB18" i="37"/>
  <c r="AA18" i="37"/>
  <c r="AB20" i="37"/>
  <c r="Y20" i="37"/>
  <c r="X20" i="37"/>
  <c r="W20" i="37"/>
  <c r="V20" i="37"/>
  <c r="U20" i="37"/>
  <c r="T20" i="37"/>
  <c r="S20" i="37"/>
  <c r="R20" i="37"/>
  <c r="Q20" i="37"/>
  <c r="P20" i="37"/>
  <c r="O20" i="37"/>
  <c r="N20" i="37"/>
  <c r="M20" i="37"/>
  <c r="L20" i="37"/>
  <c r="K20" i="37"/>
  <c r="J20" i="37"/>
  <c r="I20" i="37"/>
  <c r="H20" i="37"/>
  <c r="G20" i="37"/>
  <c r="F20" i="37"/>
  <c r="E20" i="37"/>
  <c r="AB19" i="37"/>
  <c r="AA19" i="37"/>
  <c r="Z19" i="37"/>
  <c r="Y19" i="37"/>
  <c r="X19" i="37"/>
  <c r="W19" i="37"/>
  <c r="V19" i="37"/>
  <c r="U19" i="37"/>
  <c r="L18" i="37"/>
  <c r="M18" i="37"/>
  <c r="N18" i="37"/>
  <c r="O18" i="37"/>
  <c r="P18" i="37"/>
  <c r="Q18" i="37"/>
  <c r="R18" i="37"/>
  <c r="S18" i="37"/>
  <c r="T18" i="37"/>
  <c r="U18" i="37"/>
  <c r="V18" i="37"/>
  <c r="W18" i="37"/>
  <c r="X18" i="37"/>
  <c r="Y18" i="37"/>
  <c r="M19" i="37"/>
  <c r="L19" i="37"/>
  <c r="Z18" i="37"/>
  <c r="K18" i="37"/>
  <c r="J18" i="37"/>
  <c r="I18" i="37"/>
  <c r="H18" i="37"/>
  <c r="G18" i="37"/>
  <c r="F18" i="37"/>
  <c r="E18" i="37"/>
  <c r="Y14" i="37"/>
  <c r="X14" i="37"/>
  <c r="W14" i="37"/>
  <c r="V14" i="37"/>
  <c r="U14" i="37"/>
  <c r="T14" i="37"/>
  <c r="S14" i="37"/>
  <c r="R14" i="37"/>
  <c r="Q14" i="37"/>
  <c r="P14" i="37"/>
  <c r="O14" i="37"/>
  <c r="N14" i="37"/>
  <c r="M14" i="37"/>
  <c r="L14" i="37"/>
  <c r="K14" i="37"/>
  <c r="J14" i="37"/>
  <c r="I14" i="37"/>
  <c r="H14" i="37"/>
  <c r="G14" i="37"/>
  <c r="F14" i="37"/>
  <c r="E14" i="37"/>
  <c r="B4" i="36"/>
  <c r="C4" i="36"/>
  <c r="D4" i="36"/>
  <c r="E4" i="36"/>
  <c r="F4" i="36"/>
  <c r="G4" i="36"/>
  <c r="H4" i="36"/>
  <c r="I4" i="36"/>
  <c r="J4" i="36"/>
  <c r="K4" i="36"/>
  <c r="L4" i="36"/>
  <c r="M4" i="36"/>
  <c r="N4" i="36"/>
  <c r="O4" i="36"/>
  <c r="P4" i="36"/>
  <c r="Q4" i="36"/>
  <c r="R4" i="36"/>
  <c r="S4" i="36"/>
  <c r="T4" i="36"/>
  <c r="U4" i="36"/>
  <c r="V4" i="36"/>
  <c r="AA5" i="36"/>
  <c r="B8" i="36"/>
  <c r="C8" i="36"/>
  <c r="D8" i="36"/>
  <c r="E8" i="36"/>
  <c r="F8" i="36"/>
  <c r="G8" i="36"/>
  <c r="H8" i="36"/>
  <c r="I8" i="36"/>
  <c r="J8" i="36"/>
  <c r="K8" i="36"/>
  <c r="L8" i="36"/>
  <c r="M8" i="36"/>
  <c r="N8" i="36"/>
  <c r="O8" i="36"/>
  <c r="P8" i="36"/>
  <c r="Q8" i="36"/>
  <c r="R8" i="36"/>
  <c r="S8" i="36"/>
  <c r="T8" i="36"/>
  <c r="U8" i="36"/>
  <c r="V8" i="36"/>
  <c r="W8" i="36"/>
  <c r="X8" i="36"/>
  <c r="Y8" i="36"/>
  <c r="I9" i="36"/>
  <c r="J9" i="36"/>
  <c r="R9" i="36"/>
  <c r="S9" i="36"/>
  <c r="T9" i="36"/>
  <c r="U9" i="36"/>
  <c r="V9" i="36"/>
  <c r="W9" i="36"/>
  <c r="X9" i="36"/>
  <c r="Y9" i="36"/>
  <c r="B10" i="36"/>
  <c r="C10" i="36"/>
  <c r="D10" i="36"/>
  <c r="E10" i="36"/>
  <c r="F10" i="36"/>
  <c r="G10" i="36"/>
  <c r="H10" i="36"/>
  <c r="I10" i="36"/>
  <c r="J10" i="36"/>
  <c r="K10" i="36"/>
  <c r="L10" i="36"/>
  <c r="M10" i="36"/>
  <c r="N10" i="36"/>
  <c r="O10" i="36"/>
  <c r="P10" i="36"/>
  <c r="Q10" i="36"/>
  <c r="R10" i="36"/>
  <c r="S10" i="36"/>
  <c r="T10" i="36"/>
  <c r="U10" i="36"/>
  <c r="V10" i="36"/>
  <c r="Y10" i="36"/>
  <c r="B11" i="36"/>
  <c r="C11" i="36"/>
  <c r="D11" i="36"/>
  <c r="E11" i="36"/>
  <c r="F11" i="36"/>
  <c r="G11" i="36"/>
  <c r="H11" i="36"/>
  <c r="I11" i="36"/>
  <c r="J11" i="36"/>
  <c r="K11" i="36"/>
  <c r="L11" i="36"/>
  <c r="M11" i="36"/>
  <c r="N11" i="36"/>
  <c r="O11" i="36"/>
  <c r="P11" i="36"/>
  <c r="Q11" i="36"/>
  <c r="R11" i="36"/>
  <c r="S11" i="36"/>
  <c r="T11" i="36"/>
  <c r="U11" i="36"/>
  <c r="V11" i="36"/>
  <c r="N15" i="36"/>
  <c r="O15" i="36"/>
  <c r="P15" i="36"/>
  <c r="Q15" i="36"/>
  <c r="R15" i="36"/>
  <c r="S15" i="36"/>
  <c r="T15" i="36"/>
  <c r="U15" i="36"/>
  <c r="V15" i="36"/>
  <c r="N20" i="36"/>
  <c r="O20" i="36"/>
  <c r="P20" i="36"/>
  <c r="Q20" i="36"/>
  <c r="R20" i="36"/>
  <c r="S20" i="36"/>
  <c r="T20" i="36"/>
  <c r="U20" i="36"/>
  <c r="V20" i="36"/>
  <c r="N24" i="36"/>
  <c r="O24" i="36"/>
  <c r="P24" i="36"/>
  <c r="Q24" i="36"/>
  <c r="R24" i="36"/>
  <c r="S24" i="36"/>
  <c r="T24" i="36"/>
  <c r="U24" i="36"/>
  <c r="V24" i="36"/>
  <c r="W24" i="36"/>
  <c r="X24" i="36"/>
  <c r="Y24" i="36"/>
  <c r="Z24" i="36"/>
  <c r="R25" i="36"/>
  <c r="S25" i="36"/>
  <c r="T25" i="36"/>
  <c r="U25" i="36"/>
  <c r="V25" i="36"/>
  <c r="W25" i="36"/>
  <c r="X25" i="36"/>
  <c r="Y25" i="36"/>
  <c r="N26" i="36"/>
  <c r="O26" i="36"/>
  <c r="P26" i="36"/>
  <c r="Q26" i="36"/>
  <c r="R26" i="36"/>
  <c r="S26" i="36"/>
  <c r="T26" i="36"/>
  <c r="U26" i="36"/>
  <c r="V26" i="36"/>
  <c r="X26" i="36"/>
  <c r="Y26" i="36"/>
  <c r="N27" i="36"/>
  <c r="O27" i="36"/>
  <c r="P27" i="36"/>
  <c r="Q27" i="36"/>
  <c r="R27" i="36"/>
  <c r="S27" i="36"/>
  <c r="T27" i="36"/>
  <c r="U27" i="36"/>
  <c r="V27" i="36"/>
  <c r="F29" i="36"/>
  <c r="G29" i="36"/>
  <c r="H29" i="36"/>
  <c r="I29" i="36"/>
  <c r="J29" i="36"/>
  <c r="K29" i="36"/>
  <c r="L29" i="36"/>
  <c r="M29" i="36"/>
  <c r="N29" i="36"/>
  <c r="O29" i="36"/>
  <c r="P29" i="36"/>
  <c r="Q29" i="36"/>
  <c r="R29" i="36"/>
  <c r="S29" i="36"/>
  <c r="T29" i="36"/>
  <c r="U29" i="36"/>
  <c r="V29" i="36"/>
  <c r="W29" i="36"/>
  <c r="X29" i="36"/>
  <c r="Y29" i="36"/>
  <c r="AA29" i="36"/>
  <c r="AB29" i="36"/>
  <c r="R30" i="36"/>
  <c r="S30" i="36"/>
  <c r="T30" i="36"/>
  <c r="U30" i="36"/>
  <c r="V30" i="36"/>
  <c r="W30" i="36"/>
  <c r="X30" i="36"/>
  <c r="Y30" i="36"/>
  <c r="AA30" i="36"/>
  <c r="F3" i="34"/>
  <c r="H3" i="34"/>
  <c r="F4" i="34"/>
  <c r="H4" i="34"/>
  <c r="F5" i="34"/>
  <c r="H5" i="34"/>
  <c r="F6" i="34"/>
  <c r="H6" i="34"/>
  <c r="F7" i="34"/>
  <c r="H7" i="34"/>
  <c r="F8" i="34"/>
  <c r="H8" i="34"/>
  <c r="F9" i="34"/>
  <c r="H9" i="34"/>
  <c r="F10" i="34"/>
  <c r="H10" i="34"/>
  <c r="F11" i="34"/>
  <c r="H11" i="34"/>
  <c r="E18" i="33"/>
  <c r="D18" i="33"/>
  <c r="E17" i="33"/>
  <c r="D17" i="33"/>
  <c r="E16" i="33"/>
  <c r="D16" i="33"/>
  <c r="E15" i="33"/>
  <c r="D15" i="33"/>
  <c r="E13" i="33"/>
  <c r="D13" i="33"/>
  <c r="E12" i="33"/>
  <c r="D12" i="33"/>
  <c r="E11" i="33"/>
  <c r="D11" i="33"/>
  <c r="E10" i="33"/>
  <c r="D10" i="33"/>
  <c r="E9" i="33"/>
  <c r="D9" i="33"/>
  <c r="E8" i="33"/>
  <c r="D8" i="33"/>
  <c r="E7" i="33"/>
  <c r="D7" i="33"/>
  <c r="E6" i="33"/>
  <c r="D6" i="33"/>
  <c r="E5" i="33"/>
  <c r="D5" i="33"/>
  <c r="E4" i="33"/>
  <c r="D4" i="33"/>
  <c r="E3" i="33"/>
  <c r="D3" i="33"/>
  <c r="G10" i="32"/>
  <c r="F10" i="32"/>
  <c r="E10" i="32"/>
  <c r="D10" i="32"/>
  <c r="C10" i="32"/>
  <c r="O8" i="32"/>
  <c r="O9" i="32"/>
  <c r="O6" i="32"/>
  <c r="Q5" i="32"/>
  <c r="Q4" i="32"/>
  <c r="O3" i="32"/>
  <c r="AD40" i="31"/>
  <c r="AC40" i="31"/>
  <c r="AA36" i="31"/>
  <c r="AB40" i="31"/>
  <c r="Z36" i="31"/>
  <c r="AA40" i="31"/>
  <c r="Y36" i="31"/>
  <c r="Z40" i="31"/>
  <c r="X36" i="31"/>
  <c r="Y40" i="31"/>
  <c r="W36" i="31"/>
  <c r="X40" i="31"/>
  <c r="V36" i="31"/>
  <c r="W40" i="31"/>
  <c r="U36" i="31"/>
  <c r="V40" i="31"/>
  <c r="T36" i="31"/>
  <c r="U40" i="31"/>
  <c r="S36" i="31"/>
  <c r="T40" i="31"/>
  <c r="R36" i="31"/>
  <c r="S40" i="31"/>
  <c r="Q36" i="31"/>
  <c r="R40" i="31"/>
  <c r="P36" i="31"/>
  <c r="Q40" i="31"/>
  <c r="O36" i="31"/>
  <c r="P40" i="31"/>
  <c r="N36" i="31"/>
  <c r="O40" i="31"/>
  <c r="N37" i="31"/>
  <c r="M37" i="31"/>
  <c r="M36" i="31"/>
  <c r="N40" i="31"/>
  <c r="L36" i="31"/>
  <c r="M40" i="31"/>
  <c r="K36" i="31"/>
  <c r="L40" i="31"/>
  <c r="J36" i="31"/>
  <c r="K40" i="31"/>
  <c r="I36" i="31"/>
  <c r="J40" i="31"/>
  <c r="H36" i="31"/>
  <c r="I40" i="31"/>
  <c r="G36" i="31"/>
  <c r="H40" i="31"/>
  <c r="E37" i="31"/>
  <c r="F37" i="31"/>
  <c r="F36" i="31"/>
  <c r="G40" i="31"/>
  <c r="E36" i="31"/>
  <c r="F40" i="31"/>
  <c r="D37" i="31"/>
  <c r="D36" i="31"/>
  <c r="E40" i="31"/>
  <c r="C36" i="31"/>
  <c r="D40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O39" i="31"/>
  <c r="N39" i="31"/>
  <c r="M39" i="31"/>
  <c r="L39" i="31"/>
  <c r="K39" i="31"/>
  <c r="J39" i="31"/>
  <c r="I39" i="31"/>
  <c r="H39" i="31"/>
  <c r="G39" i="31"/>
  <c r="Z37" i="31"/>
  <c r="AD38" i="31"/>
  <c r="Y37" i="31"/>
  <c r="AC38" i="31"/>
  <c r="X37" i="31"/>
  <c r="AB38" i="31"/>
  <c r="AA37" i="31"/>
  <c r="W37" i="31"/>
  <c r="AA38" i="31"/>
  <c r="V37" i="31"/>
  <c r="Z38" i="31"/>
  <c r="U37" i="31"/>
  <c r="Y38" i="31"/>
  <c r="T37" i="31"/>
  <c r="X38" i="31"/>
  <c r="S37" i="31"/>
  <c r="W38" i="31"/>
  <c r="R37" i="31"/>
  <c r="V38" i="31"/>
  <c r="Q37" i="31"/>
  <c r="U38" i="31"/>
  <c r="P37" i="31"/>
  <c r="T38" i="31"/>
  <c r="O37" i="31"/>
  <c r="S38" i="31"/>
  <c r="R38" i="31"/>
  <c r="Q38" i="31"/>
  <c r="P38" i="31"/>
  <c r="O38" i="31"/>
  <c r="N38" i="31"/>
  <c r="N31" i="31"/>
  <c r="U24" i="31"/>
  <c r="T24" i="31"/>
  <c r="S24" i="31"/>
  <c r="R24" i="31"/>
  <c r="Q24" i="31"/>
  <c r="P24" i="31"/>
  <c r="O24" i="31"/>
  <c r="N24" i="31"/>
  <c r="M24" i="31"/>
  <c r="Y18" i="31"/>
  <c r="X18" i="31"/>
  <c r="W18" i="31"/>
  <c r="V18" i="31"/>
  <c r="U18" i="31"/>
  <c r="T18" i="31"/>
  <c r="S18" i="31"/>
  <c r="R18" i="31"/>
  <c r="Q18" i="31"/>
  <c r="P18" i="31"/>
  <c r="O18" i="31"/>
  <c r="N18" i="31"/>
  <c r="Y8" i="31"/>
  <c r="Y17" i="31"/>
  <c r="X17" i="31"/>
  <c r="W17" i="31"/>
  <c r="V17" i="31"/>
  <c r="U8" i="31"/>
  <c r="U17" i="31"/>
  <c r="T8" i="31"/>
  <c r="T17" i="31"/>
  <c r="S8" i="31"/>
  <c r="S17" i="31"/>
  <c r="R8" i="31"/>
  <c r="R17" i="31"/>
  <c r="Q8" i="31"/>
  <c r="Q17" i="31"/>
  <c r="P8" i="31"/>
  <c r="P17" i="31"/>
  <c r="O8" i="31"/>
  <c r="O17" i="31"/>
  <c r="N8" i="31"/>
  <c r="N17" i="31"/>
  <c r="Y16" i="31"/>
  <c r="X16" i="31"/>
  <c r="W16" i="31"/>
  <c r="V16" i="31"/>
  <c r="U16" i="31"/>
  <c r="T16" i="31"/>
  <c r="S16" i="31"/>
  <c r="R16" i="31"/>
  <c r="Q16" i="31"/>
  <c r="P16" i="31"/>
  <c r="O16" i="31"/>
  <c r="N16" i="31"/>
  <c r="Y15" i="31"/>
  <c r="X15" i="31"/>
  <c r="W15" i="31"/>
  <c r="V15" i="31"/>
  <c r="U15" i="31"/>
  <c r="T15" i="31"/>
  <c r="S15" i="31"/>
  <c r="R15" i="31"/>
  <c r="Q15" i="31"/>
  <c r="P15" i="31"/>
  <c r="O15" i="31"/>
  <c r="N15" i="31"/>
  <c r="Y14" i="31"/>
  <c r="X14" i="31"/>
  <c r="W14" i="31"/>
  <c r="V14" i="31"/>
  <c r="U14" i="31"/>
  <c r="T14" i="31"/>
  <c r="S14" i="31"/>
  <c r="R14" i="31"/>
  <c r="Q14" i="31"/>
  <c r="P14" i="31"/>
  <c r="O14" i="31"/>
  <c r="N14" i="31"/>
  <c r="Y13" i="31"/>
  <c r="X13" i="31"/>
  <c r="W13" i="31"/>
  <c r="V13" i="31"/>
  <c r="U13" i="31"/>
  <c r="T13" i="31"/>
  <c r="S13" i="31"/>
  <c r="R13" i="31"/>
  <c r="Q13" i="31"/>
  <c r="P13" i="31"/>
  <c r="O13" i="31"/>
  <c r="N13" i="31"/>
  <c r="M8" i="31"/>
  <c r="AQ15" i="30"/>
  <c r="AP15" i="30"/>
  <c r="AO15" i="30"/>
  <c r="AN15" i="30"/>
  <c r="AM15" i="30"/>
  <c r="AL15" i="30"/>
  <c r="AK15" i="30"/>
  <c r="AJ15" i="30"/>
  <c r="AI15" i="30"/>
  <c r="AH15" i="30"/>
  <c r="AG15" i="30"/>
  <c r="AF12" i="30"/>
  <c r="AF15" i="30"/>
  <c r="AE15" i="30"/>
  <c r="AD15" i="30"/>
  <c r="AC15" i="30"/>
  <c r="AB15" i="30"/>
  <c r="AA15" i="30"/>
  <c r="Z15" i="30"/>
  <c r="Y15" i="30"/>
  <c r="X15" i="30"/>
  <c r="W15" i="30"/>
  <c r="V15" i="30"/>
  <c r="U15" i="30"/>
  <c r="H12" i="30"/>
  <c r="T15" i="30"/>
  <c r="S15" i="30"/>
  <c r="F12" i="30"/>
  <c r="R15" i="30"/>
  <c r="E12" i="30"/>
  <c r="Q15" i="30"/>
  <c r="P15" i="30"/>
  <c r="O15" i="30"/>
  <c r="AP13" i="30"/>
  <c r="AO13" i="30"/>
  <c r="AN13" i="30"/>
  <c r="AM13" i="30"/>
  <c r="AL13" i="30"/>
  <c r="AK13" i="30"/>
  <c r="AJ13" i="30"/>
  <c r="AI13" i="30"/>
  <c r="AH13" i="30"/>
  <c r="AG13" i="30"/>
  <c r="AF13" i="30"/>
  <c r="AE13" i="30"/>
  <c r="AD13" i="30"/>
  <c r="AC13" i="30"/>
  <c r="AB13" i="30"/>
  <c r="AA13" i="30"/>
  <c r="Z13" i="30"/>
  <c r="Y13" i="30"/>
  <c r="X13" i="30"/>
  <c r="W13" i="30"/>
  <c r="V13" i="30"/>
  <c r="U13" i="30"/>
  <c r="T13" i="30"/>
  <c r="S13" i="30"/>
  <c r="R13" i="30"/>
  <c r="Q13" i="30"/>
  <c r="P13" i="30"/>
  <c r="O13" i="30"/>
  <c r="N13" i="30"/>
  <c r="M13" i="30"/>
  <c r="L13" i="30"/>
  <c r="K13" i="30"/>
  <c r="J13" i="30"/>
  <c r="I13" i="30"/>
  <c r="H13" i="30"/>
  <c r="G13" i="30"/>
  <c r="F13" i="30"/>
  <c r="E13" i="30"/>
  <c r="D13" i="30"/>
  <c r="C13" i="30"/>
  <c r="AH11" i="30"/>
  <c r="AG11" i="30"/>
  <c r="V11" i="30"/>
  <c r="U11" i="30"/>
  <c r="AK9" i="30"/>
  <c r="AJ9" i="30"/>
  <c r="AI9" i="30"/>
  <c r="AH9" i="30"/>
  <c r="AG9" i="30"/>
  <c r="AF9" i="30"/>
  <c r="AE9" i="30"/>
  <c r="AD9" i="30"/>
  <c r="AC9" i="30"/>
  <c r="AB9" i="30"/>
  <c r="AA9" i="30"/>
  <c r="Z9" i="30"/>
  <c r="Y9" i="30"/>
  <c r="X9" i="30"/>
  <c r="W9" i="30"/>
  <c r="V9" i="30"/>
  <c r="U9" i="30"/>
  <c r="T9" i="30"/>
  <c r="S9" i="30"/>
  <c r="R9" i="30"/>
  <c r="Q9" i="30"/>
  <c r="P9" i="30"/>
  <c r="O9" i="30"/>
  <c r="N9" i="30"/>
  <c r="M9" i="30"/>
  <c r="L9" i="30"/>
  <c r="K9" i="30"/>
  <c r="J9" i="30"/>
  <c r="I9" i="30"/>
  <c r="H9" i="30"/>
  <c r="G9" i="30"/>
  <c r="F9" i="30"/>
  <c r="E9" i="30"/>
  <c r="D9" i="30"/>
  <c r="C9" i="30"/>
  <c r="AL6" i="30"/>
  <c r="W3" i="29"/>
  <c r="S3" i="29"/>
  <c r="W6" i="29"/>
  <c r="X5" i="29"/>
  <c r="W5" i="29"/>
  <c r="V5" i="29"/>
  <c r="U5" i="29"/>
  <c r="T5" i="29"/>
  <c r="S5" i="29"/>
  <c r="R5" i="29"/>
  <c r="Q5" i="29"/>
  <c r="P5" i="29"/>
  <c r="O5" i="29"/>
  <c r="N5" i="29"/>
  <c r="M5" i="29"/>
  <c r="L5" i="29"/>
  <c r="K5" i="29"/>
  <c r="J5" i="29"/>
  <c r="I2" i="29"/>
  <c r="I4" i="29"/>
  <c r="I5" i="29"/>
  <c r="H5" i="29"/>
  <c r="G5" i="29"/>
  <c r="F5" i="29"/>
  <c r="E2" i="29"/>
  <c r="E4" i="29"/>
  <c r="E5" i="29"/>
  <c r="D5" i="29"/>
  <c r="C5" i="29"/>
  <c r="B5" i="29"/>
  <c r="Y3" i="29"/>
  <c r="X3" i="29"/>
  <c r="V3" i="29"/>
  <c r="U3" i="29"/>
  <c r="T3" i="29"/>
  <c r="R3" i="29"/>
  <c r="Q3" i="29"/>
  <c r="P3" i="29"/>
  <c r="O3" i="29"/>
  <c r="N3" i="29"/>
  <c r="M3" i="29"/>
  <c r="L3" i="29"/>
  <c r="K3" i="29"/>
  <c r="J3" i="29"/>
  <c r="I3" i="29"/>
  <c r="H3" i="29"/>
  <c r="G3" i="29"/>
  <c r="F3" i="29"/>
  <c r="E3" i="29"/>
  <c r="D3" i="29"/>
  <c r="C3" i="29"/>
  <c r="B3" i="29"/>
  <c r="N52" i="28"/>
  <c r="M52" i="28"/>
  <c r="M56" i="28"/>
  <c r="K45" i="28"/>
  <c r="J45" i="28"/>
  <c r="L56" i="28"/>
  <c r="I44" i="28"/>
  <c r="I45" i="28"/>
  <c r="K56" i="28"/>
  <c r="H45" i="28"/>
  <c r="J56" i="28"/>
  <c r="G45" i="28"/>
  <c r="I56" i="28"/>
  <c r="F45" i="28"/>
  <c r="H56" i="28"/>
  <c r="E45" i="28"/>
  <c r="G56" i="28"/>
  <c r="F56" i="28"/>
  <c r="E56" i="28"/>
  <c r="D56" i="28"/>
  <c r="J52" i="28"/>
  <c r="N53" i="28"/>
  <c r="O52" i="28"/>
  <c r="L52" i="28"/>
  <c r="K52" i="28"/>
  <c r="I52" i="28"/>
  <c r="H52" i="28"/>
  <c r="G52" i="28"/>
  <c r="F52" i="28"/>
  <c r="E52" i="28"/>
  <c r="O49" i="28"/>
  <c r="I48" i="28"/>
  <c r="H48" i="28"/>
  <c r="H31" i="28"/>
  <c r="H41" i="28"/>
  <c r="G36" i="28"/>
  <c r="F36" i="28"/>
  <c r="H32" i="28"/>
  <c r="H33" i="28"/>
  <c r="H34" i="28"/>
  <c r="H35" i="28"/>
  <c r="G31" i="28"/>
  <c r="G32" i="28"/>
  <c r="G34" i="28"/>
  <c r="G35" i="28"/>
  <c r="F34" i="28"/>
  <c r="F35" i="28"/>
  <c r="E34" i="28"/>
  <c r="E35" i="28"/>
  <c r="D34" i="28"/>
  <c r="D35" i="28"/>
  <c r="I29" i="28"/>
  <c r="H29" i="28"/>
  <c r="G29" i="28"/>
  <c r="F29" i="28"/>
  <c r="E29" i="28"/>
  <c r="K12" i="28"/>
  <c r="J12" i="28"/>
  <c r="I12" i="28"/>
  <c r="H12" i="28"/>
  <c r="G12" i="28"/>
  <c r="F12" i="28"/>
  <c r="G9" i="28"/>
  <c r="F9" i="28"/>
  <c r="E8" i="28"/>
  <c r="F8" i="28"/>
  <c r="G8" i="28"/>
  <c r="H8" i="28"/>
  <c r="I8" i="28"/>
  <c r="J8" i="28"/>
  <c r="K8" i="28"/>
  <c r="L8" i="28"/>
  <c r="A4" i="27"/>
  <c r="A5" i="27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7" i="27"/>
  <c r="A58" i="27"/>
  <c r="A59" i="27"/>
  <c r="A60" i="27"/>
  <c r="A61" i="27"/>
  <c r="A62" i="27"/>
  <c r="A63" i="27"/>
  <c r="A64" i="27"/>
  <c r="A65" i="27"/>
  <c r="A66" i="27"/>
  <c r="A67" i="27"/>
  <c r="A68" i="27"/>
  <c r="A69" i="27"/>
  <c r="A70" i="27"/>
  <c r="A71" i="27"/>
  <c r="A72" i="27"/>
  <c r="A73" i="27"/>
  <c r="A74" i="27"/>
  <c r="A75" i="27"/>
  <c r="A76" i="27"/>
  <c r="A77" i="27"/>
  <c r="A78" i="27"/>
  <c r="A79" i="27"/>
  <c r="A80" i="27"/>
  <c r="A81" i="27"/>
  <c r="A82" i="27"/>
  <c r="A83" i="27"/>
  <c r="A84" i="27"/>
  <c r="A85" i="27"/>
  <c r="A86" i="27"/>
  <c r="A87" i="27"/>
  <c r="A88" i="27"/>
  <c r="A89" i="27"/>
  <c r="A90" i="27"/>
  <c r="A91" i="27"/>
  <c r="A92" i="27"/>
  <c r="A93" i="27"/>
  <c r="A94" i="27"/>
  <c r="A95" i="27"/>
  <c r="A96" i="27"/>
  <c r="A97" i="27"/>
  <c r="A98" i="27"/>
  <c r="A99" i="27"/>
  <c r="A100" i="27"/>
  <c r="A101" i="27"/>
  <c r="A102" i="27"/>
  <c r="A103" i="27"/>
  <c r="A104" i="27"/>
  <c r="A105" i="27"/>
  <c r="A106" i="27"/>
  <c r="A107" i="27"/>
  <c r="A108" i="27"/>
  <c r="A109" i="27"/>
  <c r="A110" i="27"/>
  <c r="A111" i="27"/>
  <c r="A112" i="27"/>
  <c r="A113" i="27"/>
  <c r="A114" i="27"/>
  <c r="A115" i="27"/>
  <c r="A116" i="27"/>
  <c r="A117" i="27"/>
  <c r="A118" i="27"/>
  <c r="A119" i="27"/>
  <c r="A120" i="27"/>
  <c r="A121" i="27"/>
  <c r="A122" i="27"/>
  <c r="A123" i="27"/>
  <c r="A124" i="27"/>
  <c r="A125" i="27"/>
  <c r="A126" i="27"/>
  <c r="A127" i="27"/>
  <c r="A128" i="27"/>
  <c r="A129" i="27"/>
  <c r="A130" i="27"/>
  <c r="A131" i="27"/>
  <c r="A132" i="27"/>
  <c r="A133" i="27"/>
  <c r="A134" i="27"/>
  <c r="A135" i="27"/>
  <c r="A136" i="27"/>
  <c r="A137" i="27"/>
  <c r="A138" i="27"/>
  <c r="A139" i="27"/>
  <c r="A140" i="27"/>
  <c r="A141" i="27"/>
  <c r="A142" i="27"/>
  <c r="A143" i="27"/>
  <c r="A144" i="27"/>
  <c r="A145" i="27"/>
  <c r="A146" i="27"/>
  <c r="A147" i="27"/>
  <c r="A148" i="27"/>
  <c r="A149" i="27"/>
  <c r="A150" i="27"/>
  <c r="A151" i="27"/>
  <c r="A152" i="27"/>
  <c r="A153" i="27"/>
  <c r="A154" i="27"/>
  <c r="A155" i="27"/>
  <c r="A156" i="27"/>
  <c r="A157" i="27"/>
  <c r="A158" i="27"/>
  <c r="A159" i="27"/>
  <c r="A160" i="27"/>
  <c r="A161" i="27"/>
  <c r="A162" i="27"/>
  <c r="A163" i="27"/>
  <c r="A164" i="27"/>
  <c r="A165" i="27"/>
  <c r="A166" i="27"/>
  <c r="A167" i="27"/>
  <c r="A168" i="27"/>
  <c r="A169" i="27"/>
  <c r="A170" i="27"/>
  <c r="A171" i="27"/>
  <c r="A172" i="27"/>
  <c r="A173" i="27"/>
  <c r="A174" i="27"/>
  <c r="A175" i="27"/>
  <c r="A176" i="27"/>
  <c r="A177" i="27"/>
  <c r="A178" i="27"/>
  <c r="A179" i="27"/>
  <c r="A180" i="27"/>
  <c r="A181" i="27"/>
  <c r="A182" i="27"/>
  <c r="A183" i="27"/>
  <c r="A184" i="27"/>
  <c r="A185" i="27"/>
  <c r="A186" i="27"/>
  <c r="A187" i="27"/>
  <c r="A188" i="27"/>
  <c r="A189" i="27"/>
  <c r="A190" i="27"/>
  <c r="K18" i="27"/>
  <c r="F9" i="26"/>
  <c r="F7" i="26"/>
  <c r="E27" i="26"/>
  <c r="H14" i="26"/>
  <c r="I14" i="26"/>
  <c r="F14" i="26"/>
  <c r="E9" i="26"/>
  <c r="E10" i="26"/>
  <c r="D9" i="26"/>
  <c r="D10" i="26"/>
  <c r="C9" i="26"/>
  <c r="G9" i="26"/>
  <c r="B9" i="26"/>
  <c r="F5" i="26"/>
  <c r="F6" i="26"/>
  <c r="E5" i="26"/>
  <c r="D5" i="26"/>
  <c r="F10" i="25"/>
  <c r="G10" i="25"/>
  <c r="F13" i="25"/>
  <c r="E10" i="25"/>
  <c r="E13" i="25"/>
  <c r="D10" i="25"/>
  <c r="C10" i="25"/>
  <c r="G8" i="25"/>
  <c r="G9" i="25"/>
  <c r="F8" i="25"/>
  <c r="F9" i="25"/>
  <c r="E8" i="25"/>
  <c r="E9" i="25"/>
  <c r="D8" i="25"/>
  <c r="C8" i="25"/>
  <c r="B8" i="25"/>
  <c r="G7" i="25"/>
  <c r="F7" i="25"/>
  <c r="E7" i="25"/>
  <c r="D7" i="25"/>
  <c r="C7" i="25"/>
  <c r="B7" i="25"/>
  <c r="C2" i="25"/>
  <c r="D2" i="25"/>
  <c r="E2" i="25"/>
  <c r="E3" i="24"/>
  <c r="F3" i="24"/>
  <c r="E4" i="24"/>
  <c r="F4" i="24"/>
  <c r="E5" i="24"/>
  <c r="F5" i="24"/>
  <c r="E6" i="24"/>
  <c r="F6" i="24"/>
  <c r="E7" i="24"/>
  <c r="F7" i="24"/>
  <c r="E8" i="24"/>
  <c r="F8" i="24"/>
  <c r="E9" i="24"/>
  <c r="F9" i="24"/>
  <c r="E10" i="24"/>
  <c r="F10" i="24"/>
  <c r="E11" i="24"/>
  <c r="F11" i="24"/>
  <c r="E12" i="24"/>
  <c r="F12" i="24"/>
  <c r="F13" i="24"/>
  <c r="H12" i="24"/>
  <c r="G12" i="24"/>
  <c r="H11" i="24"/>
  <c r="G11" i="24"/>
  <c r="H10" i="24"/>
  <c r="G10" i="24"/>
  <c r="H9" i="24"/>
  <c r="G9" i="24"/>
  <c r="H8" i="24"/>
  <c r="G8" i="24"/>
  <c r="H7" i="24"/>
  <c r="G7" i="24"/>
  <c r="H6" i="24"/>
  <c r="G6" i="24"/>
  <c r="H5" i="24"/>
  <c r="G5" i="24"/>
  <c r="H4" i="24"/>
  <c r="G4" i="24"/>
  <c r="H3" i="24"/>
  <c r="G3" i="24"/>
  <c r="D11" i="23"/>
  <c r="D12" i="23"/>
  <c r="D13" i="23"/>
  <c r="D14" i="23"/>
  <c r="D20" i="23"/>
  <c r="D7" i="23"/>
  <c r="D8" i="23"/>
  <c r="D9" i="23"/>
  <c r="D10" i="23"/>
  <c r="D19" i="23"/>
  <c r="E21" i="23"/>
  <c r="C20" i="23"/>
  <c r="C19" i="23"/>
  <c r="D18" i="23"/>
  <c r="F18" i="23"/>
  <c r="G17" i="23"/>
  <c r="D17" i="23"/>
  <c r="F17" i="23"/>
  <c r="G16" i="23"/>
  <c r="D16" i="23"/>
  <c r="F16" i="23"/>
  <c r="G15" i="23"/>
  <c r="D15" i="23"/>
  <c r="F15" i="23"/>
  <c r="G14" i="23"/>
  <c r="F14" i="23"/>
  <c r="G13" i="23"/>
  <c r="F13" i="23"/>
  <c r="G12" i="23"/>
  <c r="F12" i="23"/>
  <c r="G11" i="23"/>
  <c r="F11" i="23"/>
  <c r="G10" i="23"/>
  <c r="D6" i="23"/>
  <c r="F10" i="23"/>
  <c r="G9" i="23"/>
  <c r="D5" i="23"/>
  <c r="F9" i="23"/>
  <c r="G8" i="23"/>
  <c r="D4" i="23"/>
  <c r="F8" i="23"/>
  <c r="O10" i="22"/>
  <c r="N10" i="22"/>
  <c r="M10" i="22"/>
  <c r="L10" i="22"/>
  <c r="K10" i="22"/>
  <c r="J10" i="22"/>
  <c r="I10" i="22"/>
  <c r="H10" i="22"/>
  <c r="G10" i="22"/>
  <c r="F10" i="22"/>
  <c r="E10" i="22"/>
  <c r="I7" i="22"/>
  <c r="H7" i="22"/>
  <c r="G7" i="22"/>
  <c r="F7" i="22"/>
  <c r="R11" i="21"/>
  <c r="R14" i="21"/>
  <c r="Q14" i="21"/>
  <c r="P14" i="21"/>
  <c r="O14" i="21"/>
  <c r="N14" i="21"/>
  <c r="M14" i="21"/>
  <c r="L11" i="21"/>
  <c r="L14" i="21"/>
  <c r="R13" i="21"/>
  <c r="Q13" i="21"/>
  <c r="P13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S11" i="21"/>
  <c r="N3" i="21"/>
  <c r="N6" i="21"/>
  <c r="N7" i="21"/>
  <c r="M3" i="21"/>
  <c r="M6" i="21"/>
  <c r="M7" i="21"/>
  <c r="L7" i="21"/>
  <c r="K7" i="21"/>
  <c r="J7" i="21"/>
  <c r="I7" i="21"/>
  <c r="H7" i="21"/>
  <c r="G7" i="21"/>
  <c r="L3" i="21"/>
  <c r="L6" i="21"/>
  <c r="K6" i="21"/>
  <c r="J6" i="21"/>
  <c r="I6" i="21"/>
  <c r="H6" i="21"/>
  <c r="G6" i="21"/>
  <c r="F6" i="21"/>
  <c r="E6" i="21"/>
  <c r="D6" i="21"/>
  <c r="C6" i="21"/>
  <c r="H2" i="17"/>
  <c r="G2" i="17"/>
  <c r="F2" i="17"/>
  <c r="C2" i="17"/>
  <c r="D7" i="16"/>
  <c r="B4" i="15"/>
  <c r="B3" i="15"/>
  <c r="AI10" i="12"/>
  <c r="AJ10" i="12"/>
  <c r="AE10" i="12"/>
  <c r="AF10" i="12"/>
  <c r="AG10" i="12"/>
  <c r="Z10" i="12"/>
  <c r="AA10" i="12"/>
  <c r="AB10" i="12"/>
  <c r="U10" i="12"/>
  <c r="V10" i="12"/>
  <c r="N10" i="12"/>
  <c r="O10" i="12"/>
  <c r="P10" i="12"/>
  <c r="Q10" i="12"/>
  <c r="R10" i="12"/>
  <c r="S10" i="12"/>
  <c r="K10" i="12"/>
  <c r="L10" i="12"/>
  <c r="E10" i="12"/>
  <c r="F10" i="12"/>
  <c r="G10" i="12"/>
  <c r="H10" i="12"/>
  <c r="I10" i="12"/>
  <c r="C10" i="12"/>
  <c r="G7" i="11"/>
  <c r="G8" i="11"/>
  <c r="G9" i="11"/>
  <c r="G10" i="11"/>
  <c r="G11" i="11"/>
  <c r="G12" i="11"/>
  <c r="B11" i="9"/>
  <c r="C9" i="9"/>
  <c r="C8" i="9"/>
  <c r="C7" i="9"/>
  <c r="C6" i="9"/>
  <c r="C5" i="9"/>
  <c r="C4" i="9"/>
  <c r="C3" i="9"/>
  <c r="V10" i="8"/>
  <c r="W10" i="8"/>
  <c r="R10" i="8"/>
  <c r="S10" i="8"/>
  <c r="W15" i="8"/>
  <c r="AB10" i="8"/>
  <c r="AA10" i="8"/>
  <c r="AB12" i="8"/>
  <c r="Z10" i="8"/>
  <c r="AA12" i="8"/>
  <c r="Y10" i="8"/>
  <c r="Z12" i="8"/>
  <c r="X10" i="8"/>
  <c r="Y12" i="8"/>
  <c r="X12" i="8"/>
  <c r="W12" i="8"/>
  <c r="U10" i="8"/>
  <c r="V12" i="8"/>
  <c r="T10" i="8"/>
  <c r="U12" i="8"/>
  <c r="T12" i="8"/>
  <c r="S12" i="8"/>
  <c r="Q10" i="8"/>
  <c r="R12" i="8"/>
  <c r="P10" i="8"/>
  <c r="Q12" i="8"/>
  <c r="O10" i="8"/>
  <c r="P12" i="8"/>
  <c r="N10" i="8"/>
  <c r="O12" i="8"/>
  <c r="M10" i="8"/>
  <c r="N12" i="8"/>
  <c r="L10" i="8"/>
  <c r="M12" i="8"/>
  <c r="K10" i="8"/>
  <c r="L12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J10" i="8"/>
  <c r="N11" i="8"/>
  <c r="I10" i="8"/>
  <c r="M11" i="8"/>
  <c r="H10" i="8"/>
  <c r="L11" i="8"/>
  <c r="G10" i="8"/>
  <c r="F10" i="8"/>
  <c r="L9" i="5"/>
  <c r="N9" i="5"/>
  <c r="P9" i="5"/>
  <c r="R9" i="5"/>
  <c r="P8" i="5"/>
  <c r="Q9" i="5"/>
  <c r="N8" i="5"/>
  <c r="O9" i="5"/>
  <c r="L8" i="5"/>
  <c r="M9" i="5"/>
  <c r="H9" i="5"/>
  <c r="H8" i="5"/>
  <c r="J9" i="5"/>
  <c r="I9" i="5"/>
  <c r="G9" i="5"/>
  <c r="E9" i="5"/>
  <c r="C9" i="5"/>
  <c r="R8" i="5"/>
  <c r="P7" i="5"/>
  <c r="Q8" i="5"/>
  <c r="N7" i="5"/>
  <c r="O8" i="5"/>
  <c r="L7" i="5"/>
  <c r="M8" i="5"/>
  <c r="H7" i="5"/>
  <c r="J8" i="5"/>
  <c r="I8" i="5"/>
  <c r="G8" i="5"/>
  <c r="E8" i="5"/>
  <c r="C8" i="5"/>
  <c r="R7" i="5"/>
  <c r="P6" i="5"/>
  <c r="Q7" i="5"/>
  <c r="N6" i="5"/>
  <c r="O7" i="5"/>
  <c r="L6" i="5"/>
  <c r="M7" i="5"/>
  <c r="H6" i="5"/>
  <c r="J7" i="5"/>
  <c r="I7" i="5"/>
  <c r="G7" i="5"/>
  <c r="E7" i="5"/>
  <c r="C7" i="5"/>
  <c r="R6" i="5"/>
  <c r="P5" i="5"/>
  <c r="Q6" i="5"/>
  <c r="N5" i="5"/>
  <c r="O6" i="5"/>
  <c r="L5" i="5"/>
  <c r="M6" i="5"/>
  <c r="H5" i="5"/>
  <c r="J6" i="5"/>
  <c r="I6" i="5"/>
  <c r="G6" i="5"/>
  <c r="E6" i="5"/>
  <c r="C6" i="5"/>
  <c r="R5" i="5"/>
  <c r="P4" i="5"/>
  <c r="Q5" i="5"/>
  <c r="N4" i="5"/>
  <c r="O5" i="5"/>
  <c r="L4" i="5"/>
  <c r="M5" i="5"/>
  <c r="H4" i="5"/>
  <c r="J5" i="5"/>
  <c r="I5" i="5"/>
  <c r="G5" i="5"/>
  <c r="E5" i="5"/>
  <c r="C5" i="5"/>
  <c r="R4" i="5"/>
  <c r="P3" i="5"/>
  <c r="Q4" i="5"/>
  <c r="N3" i="5"/>
  <c r="O4" i="5"/>
  <c r="L3" i="5"/>
  <c r="M4" i="5"/>
  <c r="H3" i="5"/>
  <c r="J4" i="5"/>
  <c r="I4" i="5"/>
  <c r="G4" i="5"/>
  <c r="E4" i="5"/>
  <c r="C4" i="5"/>
  <c r="X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U12" i="4"/>
  <c r="F14" i="4"/>
  <c r="J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X16" i="4"/>
  <c r="T17" i="4"/>
  <c r="T18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T23" i="4"/>
  <c r="T24" i="4"/>
  <c r="Y21" i="3"/>
  <c r="Y22" i="3"/>
  <c r="Y23" i="3"/>
  <c r="Y24" i="3"/>
  <c r="Y25" i="3"/>
  <c r="Y26" i="3"/>
  <c r="Y27" i="3"/>
  <c r="Y28" i="3"/>
  <c r="Y29" i="3"/>
  <c r="W12" i="3"/>
  <c r="Y12" i="3"/>
  <c r="Y30" i="3"/>
  <c r="X13" i="3"/>
  <c r="Y31" i="3"/>
  <c r="V15" i="3"/>
  <c r="V14" i="3"/>
  <c r="W15" i="3"/>
  <c r="W14" i="3"/>
  <c r="X16" i="3"/>
  <c r="X15" i="3"/>
  <c r="X14" i="3"/>
  <c r="Y15" i="3"/>
  <c r="Y14" i="3"/>
  <c r="Y32" i="3"/>
  <c r="Y33" i="3"/>
  <c r="Y46" i="3"/>
  <c r="X21" i="3"/>
  <c r="X22" i="3"/>
  <c r="X23" i="3"/>
  <c r="X24" i="3"/>
  <c r="X25" i="3"/>
  <c r="X26" i="3"/>
  <c r="X27" i="3"/>
  <c r="X28" i="3"/>
  <c r="X29" i="3"/>
  <c r="X30" i="3"/>
  <c r="X31" i="3"/>
  <c r="T16" i="3"/>
  <c r="T15" i="3"/>
  <c r="T14" i="3"/>
  <c r="X32" i="3"/>
  <c r="X33" i="3"/>
  <c r="X46" i="3"/>
  <c r="Y45" i="3"/>
  <c r="X45" i="3"/>
  <c r="Y44" i="3"/>
  <c r="X44" i="3"/>
  <c r="Y43" i="3"/>
  <c r="X43" i="3"/>
  <c r="Y42" i="3"/>
  <c r="X42" i="3"/>
  <c r="Y41" i="3"/>
  <c r="X41" i="3"/>
  <c r="Y40" i="3"/>
  <c r="X40" i="3"/>
  <c r="Y39" i="3"/>
  <c r="X39" i="3"/>
  <c r="Y38" i="3"/>
  <c r="X38" i="3"/>
  <c r="Y37" i="3"/>
  <c r="X37" i="3"/>
  <c r="Y36" i="3"/>
  <c r="X36" i="3"/>
  <c r="Y35" i="3"/>
  <c r="X35" i="3"/>
  <c r="Y34" i="3"/>
  <c r="X34" i="3"/>
  <c r="Z33" i="3"/>
  <c r="Z32" i="3"/>
  <c r="Z31" i="3"/>
  <c r="Z30" i="3"/>
  <c r="Z29" i="3"/>
  <c r="Z28" i="3"/>
  <c r="Z27" i="3"/>
  <c r="Z26" i="3"/>
  <c r="Z25" i="3"/>
  <c r="Z24" i="3"/>
  <c r="Z23" i="3"/>
  <c r="Q23" i="3"/>
  <c r="Z22" i="3"/>
  <c r="Z21" i="3"/>
  <c r="Y18" i="3"/>
  <c r="X18" i="3"/>
  <c r="Y19" i="3"/>
  <c r="Q18" i="3"/>
  <c r="M18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AA16" i="3"/>
  <c r="AA15" i="3"/>
  <c r="AA14" i="3"/>
  <c r="AA13" i="3"/>
  <c r="AA12" i="3"/>
  <c r="AA11" i="3"/>
  <c r="N11" i="3"/>
  <c r="AA10" i="3"/>
  <c r="L10" i="3"/>
  <c r="AA9" i="3"/>
  <c r="AA8" i="3"/>
  <c r="L8" i="3"/>
  <c r="K8" i="3"/>
  <c r="J8" i="3"/>
  <c r="I8" i="3"/>
  <c r="AA7" i="3"/>
  <c r="AA6" i="3"/>
  <c r="H6" i="3"/>
  <c r="G6" i="3"/>
  <c r="F6" i="3"/>
  <c r="AA5" i="3"/>
  <c r="I5" i="3"/>
  <c r="H5" i="3"/>
  <c r="G5" i="3"/>
  <c r="F5" i="3"/>
  <c r="AA4" i="3"/>
  <c r="AA3" i="3"/>
  <c r="M5" i="2"/>
</calcChain>
</file>

<file path=xl/comments1.xml><?xml version="1.0" encoding="utf-8"?>
<comments xmlns="http://schemas.openxmlformats.org/spreadsheetml/2006/main">
  <authors>
    <author>Business Insider</author>
  </authors>
  <commentList>
    <comment ref="S5" authorId="0">
      <text>
        <r>
          <rPr>
            <b/>
            <sz val="9"/>
            <color indexed="81"/>
            <rFont val="Calibri"/>
            <family val="2"/>
          </rPr>
          <t>Business Insider:</t>
        </r>
        <r>
          <rPr>
            <sz val="9"/>
            <color indexed="81"/>
            <rFont val="Calibri"/>
            <family val="2"/>
          </rPr>
          <t xml:space="preserve">
one estimate said 45 m and another said 50 m
</t>
        </r>
      </text>
    </comment>
  </commentList>
</comments>
</file>

<file path=xl/comments2.xml><?xml version="1.0" encoding="utf-8"?>
<comments xmlns="http://schemas.openxmlformats.org/spreadsheetml/2006/main">
  <authors>
    <author>Business Insider</author>
  </authors>
  <commentList>
    <comment ref="I5" authorId="0">
      <text>
        <r>
          <rPr>
            <b/>
            <sz val="9"/>
            <color indexed="81"/>
            <rFont val="Calibri"/>
            <family val="2"/>
          </rPr>
          <t>Business Insider:</t>
        </r>
        <r>
          <rPr>
            <sz val="9"/>
            <color indexed="81"/>
            <rFont val="Calibri"/>
            <family val="2"/>
          </rPr>
          <t xml:space="preserve">
http://news.cnet.com/8301-13506_3-20123693-17/android-coming-on-strong-in-tablets-q3-data-shows/
</t>
        </r>
      </text>
    </comment>
    <comment ref="J5" authorId="0">
      <text>
        <r>
          <rPr>
            <b/>
            <sz val="9"/>
            <color indexed="81"/>
            <rFont val="Calibri"/>
            <family val="2"/>
          </rPr>
          <t>Business Insider:</t>
        </r>
        <r>
          <rPr>
            <sz val="9"/>
            <color indexed="81"/>
            <rFont val="Calibri"/>
            <family val="2"/>
          </rPr>
          <t xml:space="preserve">
http://www.computerworld.com/s/article/9207319/iPad_lead_shrinks_as_tablet_sales_grow
http://www.idc.com/getdoc.jsp?containerId=prUS22737611</t>
        </r>
      </text>
    </comment>
    <comment ref="K5" authorId="0">
      <text>
        <r>
          <rPr>
            <b/>
            <sz val="9"/>
            <color indexed="81"/>
            <rFont val="Calibri"/>
            <family val="2"/>
          </rPr>
          <t>Business Insider:</t>
        </r>
        <r>
          <rPr>
            <sz val="9"/>
            <color indexed="81"/>
            <rFont val="Calibri"/>
            <family val="2"/>
          </rPr>
          <t xml:space="preserve">
backed into these numbers using IDC market share info and multiplying by total number of tablets sold in quarter</t>
        </r>
      </text>
    </comment>
    <comment ref="L5" authorId="0">
      <text>
        <r>
          <rPr>
            <b/>
            <sz val="9"/>
            <color indexed="81"/>
            <rFont val="Calibri"/>
            <family val="2"/>
          </rPr>
          <t>Business Insider:</t>
        </r>
        <r>
          <rPr>
            <sz val="9"/>
            <color indexed="81"/>
            <rFont val="Calibri"/>
            <family val="2"/>
          </rPr>
          <t xml:space="preserve">
http://www.idc.com/getdoc.jsp?containerId=prUS23034011
</t>
        </r>
      </text>
    </comment>
    <comment ref="M5" authorId="0">
      <text>
        <r>
          <rPr>
            <b/>
            <sz val="9"/>
            <color indexed="81"/>
            <rFont val="Calibri"/>
            <family val="2"/>
          </rPr>
          <t>Business Insider:</t>
        </r>
        <r>
          <rPr>
            <sz val="9"/>
            <color indexed="81"/>
            <rFont val="Calibri"/>
            <family val="2"/>
          </rPr>
          <t xml:space="preserve">
http://news.cnet.com/8301-13506_3-20123693-17/android-coming-on-strong-in-tablets-q3-data-shows/
the above is strategy analytics as well:
http://www.bloomberg.com/news/2011-10-21/android-tablets-gained-on-ipad-in-third-quarter-researcher-says.html</t>
        </r>
      </text>
    </comment>
    <comment ref="L8" authorId="0">
      <text>
        <r>
          <rPr>
            <b/>
            <sz val="9"/>
            <color indexed="81"/>
            <rFont val="Calibri"/>
            <family val="2"/>
          </rPr>
          <t>Business Insider:</t>
        </r>
        <r>
          <rPr>
            <sz val="9"/>
            <color indexed="81"/>
            <rFont val="Calibri"/>
            <family val="2"/>
          </rPr>
          <t xml:space="preserve">
http://www.idc.com/getdoc.jsp?containerId=prUS23034011
</t>
        </r>
      </text>
    </comment>
    <comment ref="N8" authorId="0">
      <text>
        <r>
          <rPr>
            <b/>
            <sz val="9"/>
            <color indexed="81"/>
            <rFont val="Calibri"/>
            <family val="2"/>
          </rPr>
          <t>Business Insider:</t>
        </r>
        <r>
          <rPr>
            <sz val="9"/>
            <color indexed="81"/>
            <rFont val="Calibri"/>
            <family val="2"/>
          </rPr>
          <t xml:space="preserve">
estimate derived from here: http://www.bloomberg.com/news/2011-09-19/rim-q4-1-82-a-share-doubts-over-tablet-mount.html</t>
        </r>
      </text>
    </comment>
    <comment ref="O9" authorId="0">
      <text>
        <r>
          <rPr>
            <b/>
            <sz val="9"/>
            <color indexed="81"/>
            <rFont val="Verdana"/>
          </rPr>
          <t>Business Insider:</t>
        </r>
        <r>
          <rPr>
            <sz val="9"/>
            <color indexed="81"/>
            <rFont val="Verdana"/>
          </rPr>
          <t xml:space="preserve">
% fell "significantly" but not quite as much as Kindle
</t>
        </r>
      </text>
    </comment>
    <comment ref="P9" authorId="0">
      <text>
        <r>
          <rPr>
            <b/>
            <sz val="9"/>
            <color indexed="81"/>
            <rFont val="Verdana"/>
          </rPr>
          <t>Business Insider:</t>
        </r>
        <r>
          <rPr>
            <sz val="9"/>
            <color indexed="81"/>
            <rFont val="Verdana"/>
          </rPr>
          <t xml:space="preserve">
guesstimate--couldn't have been more than 385k</t>
        </r>
      </text>
    </comment>
    <comment ref="R9" authorId="0">
      <text>
        <r>
          <rPr>
            <b/>
            <sz val="9"/>
            <color indexed="81"/>
            <rFont val="Verdana"/>
          </rPr>
          <t>Business Insider:</t>
        </r>
        <r>
          <rPr>
            <sz val="9"/>
            <color indexed="81"/>
            <rFont val="Verdana"/>
          </rPr>
          <t xml:space="preserve">
http://techcrunch.com/2013/01/03/amazons-gain-is-barnes-nobles-loss-stores-nook-and-bn-com-all-see-holiday-sales-decline/</t>
        </r>
      </text>
    </comment>
    <comment ref="O17" authorId="0">
      <text>
        <r>
          <rPr>
            <b/>
            <sz val="9"/>
            <color indexed="81"/>
            <rFont val="Verdana"/>
          </rPr>
          <t>Business Insider:</t>
        </r>
        <r>
          <rPr>
            <sz val="9"/>
            <color indexed="81"/>
            <rFont val="Verdana"/>
          </rPr>
          <t xml:space="preserve">
Pacific Crest securities</t>
        </r>
      </text>
    </comment>
    <comment ref="P17" authorId="0">
      <text>
        <r>
          <rPr>
            <b/>
            <sz val="9"/>
            <color indexed="81"/>
            <rFont val="Verdana"/>
          </rPr>
          <t>Business Insider:</t>
        </r>
        <r>
          <rPr>
            <sz val="9"/>
            <color indexed="81"/>
            <rFont val="Verdana"/>
          </rPr>
          <t xml:space="preserve">
pacific crest securities</t>
        </r>
      </text>
    </comment>
    <comment ref="O18" authorId="0">
      <text>
        <r>
          <rPr>
            <b/>
            <sz val="9"/>
            <color indexed="81"/>
            <rFont val="Calibri"/>
            <family val="2"/>
          </rPr>
          <t>Business Insider:</t>
        </r>
        <r>
          <rPr>
            <sz val="9"/>
            <color indexed="81"/>
            <rFont val="Calibri"/>
            <family val="2"/>
          </rPr>
          <t xml:space="preserve">
Increased by 1% y/o/y http://blogs.barrons.com/techtraderdaily/2012/06/19/bks-sinks-6-fyq4-sees-slower-nook-sales-higher-returns/?mod=yahoobarrons</t>
        </r>
      </text>
    </comment>
    <comment ref="P18" authorId="0">
      <text>
        <r>
          <rPr>
            <b/>
            <sz val="9"/>
            <color indexed="81"/>
            <rFont val="Verdana"/>
          </rPr>
          <t>Business Insider:</t>
        </r>
        <r>
          <rPr>
            <sz val="9"/>
            <color indexed="81"/>
            <rFont val="Verdana"/>
          </rPr>
          <t xml:space="preserve">
Grew by the same growth rate as quarter before--basically flat--because no public info is available</t>
        </r>
      </text>
    </comment>
  </commentList>
</comments>
</file>

<file path=xl/comments3.xml><?xml version="1.0" encoding="utf-8"?>
<comments xmlns="http://schemas.openxmlformats.org/spreadsheetml/2006/main">
  <authors>
    <author>Alex Cocotas</author>
  </authors>
  <commentList>
    <comment ref="C1" authorId="0">
      <text>
        <r>
          <rPr>
            <b/>
            <sz val="9"/>
            <color indexed="81"/>
            <rFont val="Arial"/>
            <family val="2"/>
          </rPr>
          <t>Alex Cocotas:</t>
        </r>
        <r>
          <rPr>
            <sz val="9"/>
            <color indexed="81"/>
            <rFont val="Arial"/>
            <family val="2"/>
          </rPr>
          <t xml:space="preserve">
http://www.gartner.com/it/page.jsp?id=1466313</t>
        </r>
      </text>
    </comment>
    <comment ref="D1" authorId="0">
      <text>
        <r>
          <rPr>
            <b/>
            <sz val="9"/>
            <color indexed="81"/>
            <rFont val="Arial"/>
            <family val="2"/>
          </rPr>
          <t>Alex Cocotas:</t>
        </r>
        <r>
          <rPr>
            <sz val="9"/>
            <color indexed="81"/>
            <rFont val="Arial"/>
            <family val="2"/>
          </rPr>
          <t xml:space="preserve">
http://www.gartner.com/it/page.jsp?id=1543014
</t>
        </r>
      </text>
    </comment>
    <comment ref="E1" authorId="0">
      <text>
        <r>
          <rPr>
            <b/>
            <sz val="9"/>
            <color indexed="81"/>
            <rFont val="Arial"/>
            <family val="2"/>
          </rPr>
          <t>Alex Cocotas:</t>
        </r>
        <r>
          <rPr>
            <sz val="9"/>
            <color indexed="81"/>
            <rFont val="Arial"/>
            <family val="2"/>
          </rPr>
          <t xml:space="preserve">
http://www.gartner.com/it/page.jsp?id=1689814</t>
        </r>
      </text>
    </comment>
    <comment ref="F1" authorId="0">
      <text>
        <r>
          <rPr>
            <b/>
            <sz val="9"/>
            <color indexed="81"/>
            <rFont val="Arial"/>
            <family val="2"/>
          </rPr>
          <t>Alex Cocotas:</t>
        </r>
        <r>
          <rPr>
            <sz val="9"/>
            <color indexed="81"/>
            <rFont val="Arial"/>
            <family val="2"/>
          </rPr>
          <t xml:space="preserve">
http://www.gartner.com/it/page.jsp?id=1764714</t>
        </r>
      </text>
    </comment>
    <comment ref="G1" authorId="0">
      <text>
        <r>
          <rPr>
            <b/>
            <sz val="9"/>
            <color indexed="81"/>
            <rFont val="Arial"/>
            <family val="2"/>
          </rPr>
          <t>Alex Cocotas:</t>
        </r>
        <r>
          <rPr>
            <sz val="9"/>
            <color indexed="81"/>
            <rFont val="Arial"/>
            <family val="2"/>
          </rPr>
          <t xml:space="preserve">
http://paidcontent.org/article/419-gartner-android-now-over-50-percent-of-smartphone-sales-the-rest-declin/</t>
        </r>
      </text>
    </comment>
    <comment ref="H1" authorId="0">
      <text>
        <r>
          <rPr>
            <b/>
            <sz val="9"/>
            <color indexed="81"/>
            <rFont val="Arial"/>
            <family val="2"/>
          </rPr>
          <t>Alex Cocotas:</t>
        </r>
        <r>
          <rPr>
            <sz val="9"/>
            <color indexed="81"/>
            <rFont val="Arial"/>
            <family val="2"/>
          </rPr>
          <t xml:space="preserve">
http://www.gartner.com/it/page.jsp?id=1543014
</t>
        </r>
      </text>
    </comment>
    <comment ref="I1" authorId="0">
      <text>
        <r>
          <rPr>
            <b/>
            <sz val="9"/>
            <color indexed="81"/>
            <rFont val="Arial"/>
            <family val="2"/>
          </rPr>
          <t>Alex Cocotas:</t>
        </r>
        <r>
          <rPr>
            <sz val="10"/>
            <rFont val="Arial"/>
            <family val="2"/>
          </rPr>
          <t xml:space="preserve">
http://www.gartner.com/it/page.jsp?id=1689814</t>
        </r>
      </text>
    </comment>
    <comment ref="J1" authorId="0">
      <text>
        <r>
          <rPr>
            <b/>
            <sz val="9"/>
            <color indexed="81"/>
            <rFont val="Arial"/>
            <family val="2"/>
          </rPr>
          <t>Alex Cocotas:</t>
        </r>
        <r>
          <rPr>
            <sz val="9"/>
            <color indexed="81"/>
            <rFont val="Arial"/>
            <family val="2"/>
          </rPr>
          <t xml:space="preserve">
http://www.gartner.com/it/page.jsp?id=1764714</t>
        </r>
      </text>
    </comment>
    <comment ref="K1" authorId="0">
      <text>
        <r>
          <rPr>
            <b/>
            <sz val="9"/>
            <color indexed="81"/>
            <rFont val="Arial"/>
            <family val="2"/>
          </rPr>
          <t>Alex Cocotas:</t>
        </r>
        <r>
          <rPr>
            <sz val="9"/>
            <color indexed="81"/>
            <rFont val="Arial"/>
            <family val="2"/>
          </rPr>
          <t xml:space="preserve">
http://paidcontent.org/article/419-gartner-android-now-over-50-percent-of-smartphone-sales-the-rest-declin/
</t>
        </r>
      </text>
    </comment>
    <comment ref="M1" authorId="0">
      <text>
        <r>
          <rPr>
            <b/>
            <sz val="9"/>
            <color indexed="81"/>
            <rFont val="Arial"/>
            <family val="2"/>
          </rPr>
          <t>Alex Cocotas:</t>
        </r>
        <r>
          <rPr>
            <sz val="10"/>
            <rFont val="Arial"/>
            <family val="2"/>
          </rPr>
          <t xml:space="preserve">
http://www.gartner.com/it/page.jsp?id=1689814</t>
        </r>
      </text>
    </comment>
  </commentList>
</comments>
</file>

<file path=xl/comments4.xml><?xml version="1.0" encoding="utf-8"?>
<comments xmlns="http://schemas.openxmlformats.org/spreadsheetml/2006/main">
  <authors>
    <author>Business Insider</author>
  </authors>
  <commentList>
    <comment ref="D3" authorId="0">
      <text>
        <r>
          <rPr>
            <b/>
            <sz val="9"/>
            <color indexed="81"/>
            <rFont val="Calibri"/>
            <family val="2"/>
          </rPr>
          <t>Business Insider:</t>
        </r>
        <r>
          <rPr>
            <sz val="9"/>
            <color indexed="81"/>
            <rFont val="Calibri"/>
            <family val="2"/>
          </rPr>
          <t xml:space="preserve">
http://news.cnet.com/8301-13506_3-20123693-17/android-coming-on-strong-in-tablets-q3-data-shows/
</t>
        </r>
      </text>
    </comment>
    <comment ref="E3" authorId="0">
      <text>
        <r>
          <rPr>
            <b/>
            <sz val="9"/>
            <color indexed="81"/>
            <rFont val="Calibri"/>
            <family val="2"/>
          </rPr>
          <t>Business Insider:</t>
        </r>
        <r>
          <rPr>
            <sz val="9"/>
            <color indexed="81"/>
            <rFont val="Calibri"/>
            <family val="2"/>
          </rPr>
          <t xml:space="preserve">
http://www.computerworld.com/s/article/9207319/iPad_lead_shrinks_as_tablet_sales_grow
http://www.idc.com/getdoc.jsp?containerId=prUS22737611</t>
        </r>
      </text>
    </comment>
    <comment ref="F3" authorId="0">
      <text>
        <r>
          <rPr>
            <b/>
            <sz val="9"/>
            <color indexed="81"/>
            <rFont val="Calibri"/>
            <family val="2"/>
          </rPr>
          <t>Business Insider:</t>
        </r>
        <r>
          <rPr>
            <sz val="9"/>
            <color indexed="81"/>
            <rFont val="Calibri"/>
            <family val="2"/>
          </rPr>
          <t xml:space="preserve">
backed into these numbers using IDC market share info and multiplying by total number of tablets sold in quarter</t>
        </r>
      </text>
    </comment>
    <comment ref="G3" authorId="0">
      <text>
        <r>
          <rPr>
            <b/>
            <sz val="9"/>
            <color indexed="81"/>
            <rFont val="Calibri"/>
            <family val="2"/>
          </rPr>
          <t>Business Insider:</t>
        </r>
        <r>
          <rPr>
            <sz val="9"/>
            <color indexed="81"/>
            <rFont val="Calibri"/>
            <family val="2"/>
          </rPr>
          <t xml:space="preserve">
http://www.idc.com/getdoc.jsp?containerId=prUS23034011
</t>
        </r>
      </text>
    </comment>
    <comment ref="H3" authorId="0">
      <text>
        <r>
          <rPr>
            <b/>
            <sz val="9"/>
            <color indexed="81"/>
            <rFont val="Calibri"/>
            <family val="2"/>
          </rPr>
          <t>Business Insider:</t>
        </r>
        <r>
          <rPr>
            <sz val="9"/>
            <color indexed="81"/>
            <rFont val="Calibri"/>
            <family val="2"/>
          </rPr>
          <t xml:space="preserve">
http://news.cnet.com/8301-13506_3-20123693-17/android-coming-on-strong-in-tablets-q3-data-shows/
the above is strategy analytics as well:
http://www.bloomberg.com/news/2011-10-21/android-tablets-gained-on-ipad-in-third-quarter-researcher-says.html</t>
        </r>
      </text>
    </comment>
    <comment ref="G6" authorId="0">
      <text>
        <r>
          <rPr>
            <b/>
            <sz val="9"/>
            <color indexed="81"/>
            <rFont val="Calibri"/>
            <family val="2"/>
          </rPr>
          <t>Business Insider:</t>
        </r>
        <r>
          <rPr>
            <sz val="9"/>
            <color indexed="81"/>
            <rFont val="Calibri"/>
            <family val="2"/>
          </rPr>
          <t xml:space="preserve">
http://www.idc.com/getdoc.jsp?containerId=prUS23034011
</t>
        </r>
      </text>
    </comment>
    <comment ref="I6" authorId="0">
      <text>
        <r>
          <rPr>
            <b/>
            <sz val="9"/>
            <color indexed="81"/>
            <rFont val="Calibri"/>
            <family val="2"/>
          </rPr>
          <t>Business Insider:</t>
        </r>
        <r>
          <rPr>
            <sz val="9"/>
            <color indexed="81"/>
            <rFont val="Calibri"/>
            <family val="2"/>
          </rPr>
          <t xml:space="preserve">
estimate derived from here: http://www.bloomberg.com/news/2011-09-19/rim-q4-1-82-a-share-doubts-over-tablet-mount.html</t>
        </r>
      </text>
    </comment>
    <comment ref="J7" authorId="0">
      <text>
        <r>
          <rPr>
            <b/>
            <sz val="9"/>
            <color indexed="81"/>
            <rFont val="Verdana"/>
          </rPr>
          <t>Business Insider:</t>
        </r>
        <r>
          <rPr>
            <sz val="9"/>
            <color indexed="81"/>
            <rFont val="Verdana"/>
          </rPr>
          <t xml:space="preserve">
% fell "significantly" but not quite as much as Kindle
</t>
        </r>
      </text>
    </comment>
    <comment ref="K7" authorId="0">
      <text>
        <r>
          <rPr>
            <b/>
            <sz val="9"/>
            <color indexed="81"/>
            <rFont val="Verdana"/>
          </rPr>
          <t>Business Insider:</t>
        </r>
        <r>
          <rPr>
            <sz val="9"/>
            <color indexed="81"/>
            <rFont val="Verdana"/>
          </rPr>
          <t xml:space="preserve">
guesstimate--couldn't have been more than 385k</t>
        </r>
      </text>
    </comment>
    <comment ref="M7" authorId="0">
      <text>
        <r>
          <rPr>
            <b/>
            <sz val="9"/>
            <color indexed="81"/>
            <rFont val="Verdana"/>
          </rPr>
          <t>Business Insider:</t>
        </r>
        <r>
          <rPr>
            <sz val="9"/>
            <color indexed="81"/>
            <rFont val="Verdana"/>
          </rPr>
          <t xml:space="preserve">
http://techcrunch.com/2013/01/03/amazons-gain-is-barnes-nobles-loss-stores-nook-and-bn-com-all-see-holiday-sales-decline/</t>
        </r>
      </text>
    </comment>
  </commentList>
</comments>
</file>

<file path=xl/sharedStrings.xml><?xml version="1.0" encoding="utf-8"?>
<sst xmlns="http://schemas.openxmlformats.org/spreadsheetml/2006/main" count="1357" uniqueCount="620">
  <si>
    <t>Wearables</t>
  </si>
  <si>
    <t>Connected/Smart TVs</t>
  </si>
  <si>
    <t>Tablets</t>
  </si>
  <si>
    <t>Smartphones</t>
  </si>
  <si>
    <t>Personal Computers</t>
  </si>
  <si>
    <t>Q2 2008</t>
  </si>
  <si>
    <t>Q3 2008</t>
  </si>
  <si>
    <t>Q4 2008</t>
  </si>
  <si>
    <t>Q1 2009</t>
  </si>
  <si>
    <t>Q2 2009</t>
  </si>
  <si>
    <t>Q3 2009</t>
  </si>
  <si>
    <t>Q4 2009</t>
  </si>
  <si>
    <t>Q1 2010</t>
  </si>
  <si>
    <t>Q2 2010</t>
  </si>
  <si>
    <t>Q3 2010</t>
  </si>
  <si>
    <t>Q4 2010</t>
  </si>
  <si>
    <t>Q1 2011</t>
  </si>
  <si>
    <t>Q2 2011</t>
  </si>
  <si>
    <t>Q3 2011</t>
  </si>
  <si>
    <t>Q4 2011</t>
  </si>
  <si>
    <t>Q1 2012</t>
  </si>
  <si>
    <t>Q2 2012</t>
  </si>
  <si>
    <t>Q3 2012</t>
    <phoneticPr fontId="0" type="noConversion"/>
  </si>
  <si>
    <t>Q4 2012</t>
  </si>
  <si>
    <t>Q1 2013</t>
  </si>
  <si>
    <t>Q2 2013</t>
  </si>
  <si>
    <t>Q3 2013</t>
  </si>
  <si>
    <t>Q4 2013</t>
  </si>
  <si>
    <t xml:space="preserve">Apple </t>
  </si>
  <si>
    <t>Blackberry</t>
  </si>
  <si>
    <t>Samsung</t>
  </si>
  <si>
    <t>Motorola</t>
  </si>
  <si>
    <t>Nokia</t>
  </si>
  <si>
    <t>HTC</t>
  </si>
  <si>
    <t>LG</t>
  </si>
  <si>
    <t>Sony</t>
  </si>
  <si>
    <t>Huawei</t>
  </si>
  <si>
    <t>ZTE</t>
  </si>
  <si>
    <t>Lenovo</t>
  </si>
  <si>
    <t>Other</t>
  </si>
  <si>
    <t>Total Aggregated</t>
  </si>
  <si>
    <t>Total Smartphones</t>
  </si>
  <si>
    <t>Y/Y</t>
  </si>
  <si>
    <t>Annual Shipments</t>
  </si>
  <si>
    <t>Total</t>
  </si>
  <si>
    <t>Annual Market Share</t>
  </si>
  <si>
    <t>Smartphone Shipments</t>
  </si>
  <si>
    <t>Tablet Shipments</t>
  </si>
  <si>
    <t>PC Shipments</t>
  </si>
  <si>
    <t>Apple</t>
  </si>
  <si>
    <t>Acer</t>
  </si>
  <si>
    <t>Dell</t>
  </si>
  <si>
    <t>HP</t>
  </si>
  <si>
    <t>4Q13</t>
  </si>
  <si>
    <t>3Q13</t>
  </si>
  <si>
    <t>2Q13</t>
  </si>
  <si>
    <t>1Q13</t>
  </si>
  <si>
    <t>4Q12</t>
  </si>
  <si>
    <t>3Q12</t>
  </si>
  <si>
    <t>2Q12</t>
  </si>
  <si>
    <t>1Q12</t>
  </si>
  <si>
    <t>4Q11</t>
  </si>
  <si>
    <t>3Q11</t>
  </si>
  <si>
    <t>2Q11</t>
  </si>
  <si>
    <t>1Q11</t>
  </si>
  <si>
    <t>4Q10</t>
  </si>
  <si>
    <t>3Q10</t>
  </si>
  <si>
    <t>2Q10</t>
  </si>
  <si>
    <t>1Q10</t>
  </si>
  <si>
    <t>4Q09</t>
  </si>
  <si>
    <t>3Q09</t>
  </si>
  <si>
    <t>2Q09</t>
  </si>
  <si>
    <t>1Q09</t>
  </si>
  <si>
    <t>4Q08</t>
  </si>
  <si>
    <t>3Q08</t>
  </si>
  <si>
    <t>2Q08</t>
  </si>
  <si>
    <t>1Q08</t>
  </si>
  <si>
    <t>Units Shipped</t>
  </si>
  <si>
    <t>Market Share</t>
  </si>
  <si>
    <t>Laptop</t>
  </si>
  <si>
    <t>Change</t>
  </si>
  <si>
    <t>Tablet</t>
  </si>
  <si>
    <t>Phablet</t>
  </si>
  <si>
    <t>Market Size</t>
  </si>
  <si>
    <t>Change In Market Size</t>
  </si>
  <si>
    <t>%Market Growth</t>
  </si>
  <si>
    <t>% Change</t>
  </si>
  <si>
    <t>2011 Q4</t>
  </si>
  <si>
    <t>2012 Q1</t>
  </si>
  <si>
    <t>2012 Q2</t>
  </si>
  <si>
    <t>2012 Q3</t>
  </si>
  <si>
    <t>2012 Q4</t>
  </si>
  <si>
    <t>2013 Q1</t>
  </si>
  <si>
    <t>2013 Q2</t>
  </si>
  <si>
    <t>Change In Laptop</t>
  </si>
  <si>
    <t xml:space="preserve">Phablet </t>
  </si>
  <si>
    <t>Change in Market Size</t>
  </si>
  <si>
    <t>Wearables Market Forecast*</t>
  </si>
  <si>
    <r>
      <rPr>
        <i/>
        <sz val="12"/>
        <color theme="1"/>
        <rFont val="Calibri"/>
        <scheme val="minor"/>
      </rPr>
      <t>Note:</t>
    </r>
    <r>
      <rPr>
        <sz val="12"/>
        <color theme="1"/>
        <rFont val="Calibri"/>
        <family val="2"/>
        <scheme val="minor"/>
      </rPr>
      <t xml:space="preserve"> </t>
    </r>
  </si>
  <si>
    <t>Market Size $</t>
  </si>
  <si>
    <t>**</t>
  </si>
  <si>
    <t>(Millions)</t>
  </si>
  <si>
    <t>*</t>
  </si>
  <si>
    <t>Includes bands and bracelets, eyewear, and smartwatches</t>
  </si>
  <si>
    <t>Assumes 42$ Average Selling Price Per Unit Shipped</t>
  </si>
  <si>
    <t xml:space="preserve">Sources: </t>
  </si>
  <si>
    <t>ABI Research, Juniper Research, IMS Research</t>
  </si>
  <si>
    <t>http://www.wearable-technologies.com/c/document_library/get_file?uuid=65ab1125-6c83-4627-b8d2-bf56ac8e8fca&amp;groupId=10192</t>
  </si>
  <si>
    <t>Juniper</t>
  </si>
  <si>
    <t>2009A</t>
  </si>
  <si>
    <t>2010A</t>
  </si>
  <si>
    <t>2011A</t>
  </si>
  <si>
    <t>2012A</t>
  </si>
  <si>
    <t>2013E</t>
  </si>
  <si>
    <t>2014E</t>
  </si>
  <si>
    <t>2015E</t>
  </si>
  <si>
    <t>2016E</t>
  </si>
  <si>
    <t>2017E</t>
  </si>
  <si>
    <t>2018E</t>
  </si>
  <si>
    <t>In-vehicle services</t>
  </si>
  <si>
    <t>Telematics service providers</t>
  </si>
  <si>
    <t>Telecomm service providers</t>
  </si>
  <si>
    <t>Hardware</t>
  </si>
  <si>
    <t>Yearly</t>
  </si>
  <si>
    <t>Sequential</t>
  </si>
  <si>
    <t>Smartphone Activity Time Share</t>
  </si>
  <si>
    <t>%</t>
  </si>
  <si>
    <t>Minutes</t>
  </si>
  <si>
    <t>Visit Websites</t>
  </si>
  <si>
    <t>Games</t>
  </si>
  <si>
    <t>Social Networking</t>
  </si>
  <si>
    <t>Talk</t>
  </si>
  <si>
    <t>Text</t>
  </si>
  <si>
    <t>Email</t>
  </si>
  <si>
    <t>Source:</t>
  </si>
  <si>
    <t>Experian Marketing Services, May 2013</t>
  </si>
  <si>
    <t>Online Time Spent Primarily Between 4 Devices</t>
  </si>
  <si>
    <t>Average Time Spent Per Interaction</t>
  </si>
  <si>
    <t>TV</t>
  </si>
  <si>
    <t>PC/Laptop</t>
  </si>
  <si>
    <t>Smartphone</t>
  </si>
  <si>
    <t xml:space="preserve">Source: </t>
  </si>
  <si>
    <t>Google "The New Multi-Screen World…", August 2012</t>
  </si>
  <si>
    <t>Link:</t>
  </si>
  <si>
    <t>http://www.google.com/think/research-studies/the-new-multi-screen-world-study.html</t>
  </si>
  <si>
    <t>Print</t>
  </si>
  <si>
    <t>Mobile</t>
  </si>
  <si>
    <t>Radio</t>
  </si>
  <si>
    <t>Online</t>
  </si>
  <si>
    <t>http://www.emarketer.com/Article/Digital-Set-Surpass-TV-Time-Spent-with-US-Media/1010096</t>
  </si>
  <si>
    <t>eMarketer</t>
  </si>
  <si>
    <t>WhatsApp</t>
  </si>
  <si>
    <t>Instagram</t>
  </si>
  <si>
    <t>WhatsApp Growth</t>
  </si>
  <si>
    <t>Messages Sent</t>
  </si>
  <si>
    <t>Messages Received</t>
  </si>
  <si>
    <t>Activer Users</t>
  </si>
  <si>
    <t>Source: Company Announcements</t>
  </si>
  <si>
    <t>LINE</t>
  </si>
  <si>
    <t>WeChat</t>
  </si>
  <si>
    <t>Mobile Messaging Apps Have Already Overtaken SMS</t>
  </si>
  <si>
    <t>SMS</t>
  </si>
  <si>
    <t>OTT</t>
  </si>
  <si>
    <t>Informa, April 2013</t>
  </si>
  <si>
    <t>http://www.informa.com/Media-centre/Press-releases--news/Latest-News/OTT-messaging-traffic-will-be-twice-volume-of-P2P-SMS-traffic-this-year/</t>
  </si>
  <si>
    <t>Daily Number Of Photos Uploaded</t>
  </si>
  <si>
    <t>daily uploads</t>
  </si>
  <si>
    <t>Facebook</t>
  </si>
  <si>
    <t>Snapchat</t>
  </si>
  <si>
    <t>Flickr</t>
  </si>
  <si>
    <t>Source: Company Data</t>
  </si>
  <si>
    <t>Compiled By BI Intelligence</t>
  </si>
  <si>
    <t>Growth Of Snapchat Daily Photo Uploads (millions)</t>
  </si>
  <si>
    <t>Source: http://techcrunch.com/2013/09/09/snapchat-now-sees-350m-photos-shared-daily-up-from-200m-in-june/</t>
  </si>
  <si>
    <t>http://news.cnet.com/8301-1023_3-57590968-93/snapchat-snapshot-app-counts-8m-adult-users-in-u.s/</t>
  </si>
  <si>
    <t>KPCG</t>
  </si>
  <si>
    <t>Desktop</t>
  </si>
  <si>
    <t>Mobile video traffic 2012 forecast</t>
  </si>
  <si>
    <t>http://www.cisco.com/en/US/solutions/collateral/ns341/ns525/ns537/ns705/ns827/white_paper_c11-520862.pdf</t>
  </si>
  <si>
    <t>http://www.cisco.com/en/US/solutions/collateral/ns341/ns525/ns537/ns705/ns827/white_paper_c11-520862.html</t>
  </si>
  <si>
    <t>Twitter</t>
  </si>
  <si>
    <t>Pandora</t>
  </si>
  <si>
    <t>Ad rev</t>
  </si>
  <si>
    <t>Total Ad Revenue</t>
  </si>
  <si>
    <t>Mobile Ad Revenue</t>
  </si>
  <si>
    <t>YOY Growth</t>
  </si>
  <si>
    <t>Mobile Ad Share</t>
  </si>
  <si>
    <t>Q3 2012</t>
  </si>
  <si>
    <t>PC</t>
  </si>
  <si>
    <t>U.S. E-Commerce Retail Sales</t>
  </si>
  <si>
    <t>Period</t>
  </si>
  <si>
    <t>E-commerce sales by quarter, FRED</t>
  </si>
  <si>
    <t>M-Commerce Sales, comScore</t>
  </si>
  <si>
    <t>M-Commerce Share of E-commerce, comScore</t>
  </si>
  <si>
    <t>M-Commerce YOY Growth</t>
  </si>
  <si>
    <t>E-commerce YOY Growth</t>
  </si>
  <si>
    <t>BII Calculations</t>
  </si>
  <si>
    <t>BII estimate (e-commerce total)</t>
  </si>
  <si>
    <t>BII estimate (e-commerce, m-commerce, m-commerce share)</t>
  </si>
  <si>
    <t>4Q13E</t>
  </si>
  <si>
    <t>Total 2011</t>
  </si>
  <si>
    <t>Total 2012</t>
  </si>
  <si>
    <t>Growth</t>
  </si>
  <si>
    <t>Leading Retailer Digital Audience Population By Device</t>
  </si>
  <si>
    <t>Desktop Only</t>
  </si>
  <si>
    <t>Desktop + Mobile</t>
  </si>
  <si>
    <t>Mobile Only</t>
  </si>
  <si>
    <t>Sum</t>
  </si>
  <si>
    <t>% Mobile Only</t>
  </si>
  <si>
    <t>% Mix</t>
  </si>
  <si>
    <t>Share Of Mobile + Mix</t>
  </si>
  <si>
    <t>Amazon</t>
  </si>
  <si>
    <t>eBay</t>
  </si>
  <si>
    <t>Wal-Mart</t>
  </si>
  <si>
    <t>Target</t>
  </si>
  <si>
    <t>Best Buy</t>
  </si>
  <si>
    <t>The Home Depot</t>
  </si>
  <si>
    <t>Ticketmaster</t>
  </si>
  <si>
    <t>Etsy</t>
  </si>
  <si>
    <t>Lowes</t>
  </si>
  <si>
    <t>PayPal After Braintree Acquisition</t>
  </si>
  <si>
    <t>Braintree Mobile*</t>
  </si>
  <si>
    <t>Braintree Digital*</t>
  </si>
  <si>
    <t>Braintree</t>
  </si>
  <si>
    <t>PayPal Mobile</t>
  </si>
  <si>
    <t xml:space="preserve">PayPal Digital </t>
  </si>
  <si>
    <t>Total Payments</t>
  </si>
  <si>
    <t>Mobile Share</t>
  </si>
  <si>
    <t>http://investor.ebayinc.com/releasedetail.cfm?ReleaseID=820644</t>
  </si>
  <si>
    <t>Starbucks's Mobile Transactions</t>
  </si>
  <si>
    <t>Q4 2014</t>
  </si>
  <si>
    <t>Americas Sales (Reported)</t>
  </si>
  <si>
    <t>North American And Canada Sales Percentage (based on stores)</t>
  </si>
  <si>
    <t>North American And Canada Sales</t>
  </si>
  <si>
    <t>North American Mobile Transactions As A Percent Of Total North American Transactions (Reported)</t>
  </si>
  <si>
    <t>Mobile Transactions (USD)</t>
  </si>
  <si>
    <t xml:space="preserve">Mobile Transactions Per Week </t>
  </si>
  <si>
    <t>Mobile Transactions Per Quarter</t>
  </si>
  <si>
    <t>Average Transaction Price</t>
  </si>
  <si>
    <t>http://www.pymnts.com/briefing-room/mobile/mobile-payments/2013/starbucks-ceo-we-process-4-5-million-mobile-transactions-per-week/</t>
  </si>
  <si>
    <t>http://www.paymentssource.com/news/starbucks-mobile-payments-used-in-11-of-us-canadian-sales-3015894-1.html</t>
  </si>
  <si>
    <t>http://www.paymentssource.com/news/starbucks-over-10-percent-of-our-us-transactions-are-mobile-payments-3014457-1.html</t>
  </si>
  <si>
    <t>http://seekingalpha.com/article/1790952-starbucks-ceo-discusses-f4q-2013-results-earnings-call-transcript?page=4</t>
  </si>
  <si>
    <t>Rides Given Per Week</t>
  </si>
  <si>
    <t>Uber</t>
  </si>
  <si>
    <t>Lyft</t>
  </si>
  <si>
    <t>Hailo</t>
  </si>
  <si>
    <t>Sidecar</t>
  </si>
  <si>
    <t>App Revenue (millions)</t>
  </si>
  <si>
    <t>-</t>
  </si>
  <si>
    <t>ISH Screen Digest (Feb 2011)</t>
  </si>
  <si>
    <t>Forrester (from 2011)</t>
  </si>
  <si>
    <t>Gartner (from 2011)</t>
  </si>
  <si>
    <t>ABI Research (from early 2012)</t>
  </si>
  <si>
    <t>Canalys (mid 2011)</t>
  </si>
  <si>
    <t>Gene Munster:</t>
  </si>
  <si>
    <t>Gross Revenue</t>
  </si>
  <si>
    <t>Paid to developers</t>
  </si>
  <si>
    <t>Android Market (as of 11/17/11)</t>
  </si>
  <si>
    <t>App Store (as of 9/30/2011)</t>
  </si>
  <si>
    <t>ISH Screen Digest (Feb 2011):</t>
  </si>
  <si>
    <t>App Store Revenue</t>
  </si>
  <si>
    <t>Android  App market</t>
  </si>
  <si>
    <t>http://appleinsider.com/articles/10/06/07/apple_says_app_store_has_made_developers_over_1_billion/</t>
  </si>
  <si>
    <t>http://www.asymco.com/2011/01/17/itunes-has-paid-over-2-billion-to-app-developers-and-12-billion-to-record-labels/</t>
  </si>
  <si>
    <t>http://appleinsider.com/articles/12/01/24/apple_has_now_paid_4_billion_to_app_store_developers_.html</t>
  </si>
  <si>
    <t>http://www.bloomberg.com/news/2012-06-11/apple-has-paid-developers-5-billion-amid-30-billion-downloads.html</t>
  </si>
  <si>
    <t>http://blogs.wsj.com/digits/2013/01/07/apple-has-paid-out-more-than-7-billion-to-developers/</t>
  </si>
  <si>
    <t>Apple App Store:</t>
  </si>
  <si>
    <t>June 2010</t>
  </si>
  <si>
    <t>Dec 2010</t>
  </si>
  <si>
    <t>Jun 2011</t>
  </si>
  <si>
    <t>Jan 12</t>
  </si>
  <si>
    <t>June 2012</t>
  </si>
  <si>
    <t>Jan 13</t>
  </si>
  <si>
    <t>June 13</t>
  </si>
  <si>
    <t>Culmative payments to developers</t>
  </si>
  <si>
    <t>Culmative revenue</t>
  </si>
  <si>
    <t>9/30/11</t>
  </si>
  <si>
    <t>Oct 2011</t>
  </si>
  <si>
    <t>1H2009</t>
  </si>
  <si>
    <t>2H2009</t>
  </si>
  <si>
    <t>1H2010</t>
  </si>
  <si>
    <t>2H2010</t>
  </si>
  <si>
    <t>1H2011</t>
  </si>
  <si>
    <t>2H2011</t>
  </si>
  <si>
    <t>1H2012</t>
  </si>
  <si>
    <t>2H2012</t>
  </si>
  <si>
    <t>1H2013</t>
  </si>
  <si>
    <t>4 mos. June-Oct 2013</t>
  </si>
  <si>
    <t>Feature Phones</t>
  </si>
  <si>
    <t>Mobile Phone Shipments</t>
  </si>
  <si>
    <t>Jan 10</t>
    <phoneticPr fontId="0" type="noConversion"/>
  </si>
  <si>
    <t>Feb 10</t>
    <phoneticPr fontId="0" type="noConversion"/>
  </si>
  <si>
    <t>Mar 10</t>
    <phoneticPr fontId="0" type="noConversion"/>
  </si>
  <si>
    <t>Apr 10</t>
    <phoneticPr fontId="0" type="noConversion"/>
  </si>
  <si>
    <t>May 10</t>
    <phoneticPr fontId="0" type="noConversion"/>
  </si>
  <si>
    <t>Jun 10</t>
    <phoneticPr fontId="0" type="noConversion"/>
  </si>
  <si>
    <t>Jul 10</t>
    <phoneticPr fontId="0" type="noConversion"/>
  </si>
  <si>
    <t>Aug 10</t>
    <phoneticPr fontId="0" type="noConversion"/>
  </si>
  <si>
    <t>Sep 10</t>
    <phoneticPr fontId="0" type="noConversion"/>
  </si>
  <si>
    <t>Oct 10</t>
    <phoneticPr fontId="0" type="noConversion"/>
  </si>
  <si>
    <t>Nov 10</t>
    <phoneticPr fontId="0" type="noConversion"/>
  </si>
  <si>
    <t>Dec 10</t>
    <phoneticPr fontId="0" type="noConversion"/>
  </si>
  <si>
    <t>Jan 11</t>
    <phoneticPr fontId="0" type="noConversion"/>
  </si>
  <si>
    <t>Feb 11</t>
    <phoneticPr fontId="0" type="noConversion"/>
  </si>
  <si>
    <t>Mar 11</t>
    <phoneticPr fontId="0" type="noConversion"/>
  </si>
  <si>
    <t>Apr 11</t>
    <phoneticPr fontId="0" type="noConversion"/>
  </si>
  <si>
    <t>May 11</t>
    <phoneticPr fontId="0" type="noConversion"/>
  </si>
  <si>
    <t>Jun 11</t>
    <phoneticPr fontId="0" type="noConversion"/>
  </si>
  <si>
    <t>Jul 11</t>
    <phoneticPr fontId="0" type="noConversion"/>
  </si>
  <si>
    <t>Aug 11</t>
    <phoneticPr fontId="0" type="noConversion"/>
  </si>
  <si>
    <t>Sep 11</t>
    <phoneticPr fontId="0" type="noConversion"/>
  </si>
  <si>
    <t>Oct 11</t>
    <phoneticPr fontId="0" type="noConversion"/>
  </si>
  <si>
    <t>Nov 11</t>
    <phoneticPr fontId="0" type="noConversion"/>
  </si>
  <si>
    <t>Dec 11</t>
    <phoneticPr fontId="0" type="noConversion"/>
  </si>
  <si>
    <t>Jan 12</t>
    <phoneticPr fontId="0" type="noConversion"/>
  </si>
  <si>
    <t>Feb 12</t>
    <phoneticPr fontId="0" type="noConversion"/>
  </si>
  <si>
    <t>Mar 12</t>
    <phoneticPr fontId="0" type="noConversion"/>
  </si>
  <si>
    <t>Apr 12</t>
    <phoneticPr fontId="0" type="noConversion"/>
  </si>
  <si>
    <t>May 12</t>
  </si>
  <si>
    <t>Jun 12</t>
  </si>
  <si>
    <t>Jul 12</t>
  </si>
  <si>
    <t>Aug 12</t>
  </si>
  <si>
    <t>Sep 12</t>
  </si>
  <si>
    <t>Oct 12</t>
  </si>
  <si>
    <t>Nov 12</t>
  </si>
  <si>
    <t>Dec 12</t>
  </si>
  <si>
    <t>Feb 13</t>
  </si>
  <si>
    <t>Mar 13</t>
  </si>
  <si>
    <t>Apr 13</t>
  </si>
  <si>
    <t>May 13</t>
  </si>
  <si>
    <t>Jun 13</t>
  </si>
  <si>
    <t>Jul 13</t>
  </si>
  <si>
    <t>Aug 13</t>
  </si>
  <si>
    <t>Sep 13</t>
  </si>
  <si>
    <t>Oct 13</t>
  </si>
  <si>
    <t>Nov 13</t>
  </si>
  <si>
    <t>Dec 13</t>
  </si>
  <si>
    <t>Android</t>
    <phoneticPr fontId="0" type="noConversion"/>
  </si>
  <si>
    <t>Apple</t>
    <phoneticPr fontId="0" type="noConversion"/>
  </si>
  <si>
    <t>Blackberry</t>
    <phoneticPr fontId="0" type="noConversion"/>
  </si>
  <si>
    <t>Microsoft</t>
    <phoneticPr fontId="0" type="noConversion"/>
  </si>
  <si>
    <t>Other</t>
    <phoneticPr fontId="0" type="noConversion"/>
  </si>
  <si>
    <t xml:space="preserve"> </t>
  </si>
  <si>
    <t>Q1 2008</t>
  </si>
  <si>
    <t>Q2 2007</t>
  </si>
  <si>
    <t>Q3 2007</t>
  </si>
  <si>
    <t>Q4 2007</t>
  </si>
  <si>
    <t>Android</t>
  </si>
  <si>
    <t>Google Android</t>
  </si>
  <si>
    <t>Microsoft/Windows</t>
  </si>
  <si>
    <t>RIM/Blackberry</t>
  </si>
  <si>
    <t>Microsoft</t>
  </si>
  <si>
    <t>Total Smartphone Owners (millions)</t>
  </si>
  <si>
    <t>Total mobile phones (millions)</t>
  </si>
  <si>
    <t>Non-Smart</t>
  </si>
  <si>
    <t>June 06</t>
  </si>
  <si>
    <t>Dec 06</t>
  </si>
  <si>
    <t>June 07</t>
  </si>
  <si>
    <t>Dec 07</t>
  </si>
  <si>
    <t>June 08</t>
  </si>
  <si>
    <t>Dec 08</t>
  </si>
  <si>
    <t>June 09</t>
  </si>
  <si>
    <t>Dec 09</t>
  </si>
  <si>
    <t>June 10</t>
  </si>
  <si>
    <t>Dec 10</t>
  </si>
  <si>
    <t>June 11</t>
  </si>
  <si>
    <t>Dec 11</t>
  </si>
  <si>
    <t>June 12</t>
  </si>
  <si>
    <t>Mobile Users</t>
  </si>
  <si>
    <t>Broadband Users</t>
  </si>
  <si>
    <t>Total Users</t>
  </si>
  <si>
    <t>U.S. Users</t>
  </si>
  <si>
    <t>2014 Smartphone Outlook</t>
  </si>
  <si>
    <t>Smartphone Sales To End Users Top Markets In 2014</t>
  </si>
  <si>
    <t>Sales To New Smartphone Users In 2014</t>
  </si>
  <si>
    <t>Smartphone Upgrades In 2014</t>
  </si>
  <si>
    <t>New Users As % Of Total Sales</t>
  </si>
  <si>
    <t>Top 11 Markets</t>
  </si>
  <si>
    <t>China</t>
  </si>
  <si>
    <t>India</t>
  </si>
  <si>
    <t>USA</t>
  </si>
  <si>
    <t>Brazil</t>
  </si>
  <si>
    <t>Indonesia</t>
  </si>
  <si>
    <t>Russia</t>
  </si>
  <si>
    <t>Japan</t>
  </si>
  <si>
    <t>Mexico</t>
  </si>
  <si>
    <t>Germany</t>
  </si>
  <si>
    <t>France</t>
  </si>
  <si>
    <t>UK</t>
  </si>
  <si>
    <t>Others</t>
  </si>
  <si>
    <t>Italy</t>
  </si>
  <si>
    <t>Australia</t>
  </si>
  <si>
    <t>Malaysia</t>
  </si>
  <si>
    <t>Sweden</t>
  </si>
  <si>
    <t>Mediacells Via The Guardian</t>
  </si>
  <si>
    <t>http://appstats.prioridata.com/app-downloads-reports/</t>
  </si>
  <si>
    <t>XYO</t>
  </si>
  <si>
    <t>App Downloads Per Capita</t>
  </si>
  <si>
    <t>Total Population</t>
  </si>
  <si>
    <t>Total App Downloads</t>
  </si>
  <si>
    <t>Smartphone App Downloads Per Capita</t>
  </si>
  <si>
    <t>Average Selling Price</t>
  </si>
  <si>
    <t xml:space="preserve">  Smartphone Average Selling Price</t>
  </si>
  <si>
    <t xml:space="preserve">    Y/Y Change (%)</t>
  </si>
  <si>
    <t>BI Intelligence</t>
  </si>
  <si>
    <t>ASP</t>
  </si>
  <si>
    <t>iPad Total Revenues</t>
  </si>
  <si>
    <t>iPad Total Units</t>
  </si>
  <si>
    <t>iPad Revenues</t>
  </si>
  <si>
    <t xml:space="preserve">iPad Units </t>
  </si>
  <si>
    <t>Samsung Revenues</t>
  </si>
  <si>
    <t xml:space="preserve">Samsung Units </t>
  </si>
  <si>
    <t>iPhone Total Revenues</t>
  </si>
  <si>
    <t>iPhone Total Units</t>
  </si>
  <si>
    <t>iPhone Revenues</t>
  </si>
  <si>
    <t xml:space="preserve">iPhone Units </t>
  </si>
  <si>
    <t>Tablet Shipments By Platform</t>
  </si>
  <si>
    <t>Q2 2013 Notes</t>
  </si>
  <si>
    <t>Q1 2012</t>
    <phoneticPr fontId="0" type="noConversion"/>
  </si>
  <si>
    <t>Strategy/IDC</t>
  </si>
  <si>
    <t>Amazon (Kindle Fire)</t>
  </si>
  <si>
    <t>(Via Canalys Data) http://www.latinospost.com/articles/24873/20130802/apple-vs-samsung-tablet-market-share-2013-inc-shipments-down.htm</t>
  </si>
  <si>
    <t>Barnes &amp; Noble (Nook)</t>
  </si>
  <si>
    <t>http://news.cnet.com/8301-1023_3-57590937-93/nooks-last-stand-b-n-still-must-battle-amazon/</t>
  </si>
  <si>
    <t>Windows</t>
  </si>
  <si>
    <t>Sources:</t>
  </si>
  <si>
    <t>IDC, Strategy Analytics, Company Releases</t>
  </si>
  <si>
    <t>Links:</t>
  </si>
  <si>
    <t>http://news.cnet.com/8301-1035_3-57596977-94/tablet-sales-slow-in-2q-on-absence-of-new-ipad-idc-says/</t>
  </si>
  <si>
    <t>http://thenextweb.com/insider/2013/07/29/strategy-analytics-androids-tablet-shipments-up-to-67-in-q2-2013-ios-fell-to-28-3-and-windows-secured-4-5/</t>
  </si>
  <si>
    <t>http://thenextweb.com/insider/2013/08/01/canalys-over-34m-tablets-shipped-in-q2-2013-android-overtakes-ios-with-53-share-compared-to-42-7/</t>
  </si>
  <si>
    <t>Q3 2012</t>
    <phoneticPr fontId="0" type="noConversion"/>
  </si>
  <si>
    <t>Other (With Symbian)</t>
  </si>
  <si>
    <t>Symbian</t>
  </si>
  <si>
    <t>IDC</t>
  </si>
  <si>
    <t xml:space="preserve">Strategy </t>
  </si>
  <si>
    <t>Strategy</t>
  </si>
  <si>
    <t>Other Android Tablets</t>
  </si>
  <si>
    <t>iPad</t>
  </si>
  <si>
    <t xml:space="preserve">Kindle </t>
  </si>
  <si>
    <t>Nook</t>
  </si>
  <si>
    <t>Playbook</t>
  </si>
  <si>
    <t>Windows Tablet</t>
  </si>
  <si>
    <t>iPhone</t>
  </si>
  <si>
    <t xml:space="preserve">Windows </t>
  </si>
  <si>
    <t>Total PC sales (Less iMac)</t>
  </si>
  <si>
    <t>iMac</t>
  </si>
  <si>
    <t>Kindle</t>
  </si>
  <si>
    <t>Other Smartphone</t>
  </si>
  <si>
    <t>TOTAL</t>
  </si>
  <si>
    <t>iOS</t>
  </si>
  <si>
    <t>Developers' Main Platform</t>
  </si>
  <si>
    <t xml:space="preserve">Android </t>
  </si>
  <si>
    <t>HTML5</t>
  </si>
  <si>
    <t>BlackBerry 10</t>
  </si>
  <si>
    <t>Windows Phone</t>
  </si>
  <si>
    <t>Developer Economics, July 2013</t>
  </si>
  <si>
    <t>Android Distribution By Version</t>
  </si>
  <si>
    <t>Android 1.5</t>
  </si>
  <si>
    <t>Android 1.6</t>
  </si>
  <si>
    <t>Android 2.1</t>
  </si>
  <si>
    <t>http://developer.android.com/about/dashboards/index.html</t>
  </si>
  <si>
    <t>Android 2.2</t>
  </si>
  <si>
    <t>Android 2.3</t>
  </si>
  <si>
    <t>Android 2.3.3</t>
  </si>
  <si>
    <t>Android 3.1</t>
  </si>
  <si>
    <t>Android 3.2</t>
  </si>
  <si>
    <t>Android 4.0</t>
  </si>
  <si>
    <t>Android 4.0.4</t>
  </si>
  <si>
    <t>Android 4.1</t>
  </si>
  <si>
    <t>Android 4.2</t>
  </si>
  <si>
    <t>Android Distribution By Platform Version</t>
  </si>
  <si>
    <t>Froyo</t>
  </si>
  <si>
    <t>Gingerbread</t>
  </si>
  <si>
    <t>Honeycomb</t>
  </si>
  <si>
    <t>Ice Cream Sandwich</t>
  </si>
  <si>
    <t>Jelly Bean</t>
  </si>
  <si>
    <t>Kit Kat</t>
  </si>
  <si>
    <t>Jan 10</t>
  </si>
  <si>
    <t>Feb 10</t>
  </si>
  <si>
    <t>Mar 10</t>
  </si>
  <si>
    <t>Apr 10</t>
  </si>
  <si>
    <t>May 10</t>
  </si>
  <si>
    <t>Jun 10</t>
  </si>
  <si>
    <t>Jul 10</t>
  </si>
  <si>
    <t>Aug 10</t>
  </si>
  <si>
    <t>Sep 10</t>
  </si>
  <si>
    <t>Oct 10</t>
  </si>
  <si>
    <t>Nov 10</t>
  </si>
  <si>
    <t>Jan 11</t>
  </si>
  <si>
    <t>Feb 11</t>
  </si>
  <si>
    <t>Mar 11</t>
  </si>
  <si>
    <t>Apr 11</t>
  </si>
  <si>
    <t>May 11</t>
  </si>
  <si>
    <t>Jun 11</t>
  </si>
  <si>
    <t>Jul 11</t>
  </si>
  <si>
    <t>Aug 11</t>
  </si>
  <si>
    <t>Sep 11</t>
  </si>
  <si>
    <t>Oct 11</t>
  </si>
  <si>
    <t>Nov 11</t>
  </si>
  <si>
    <t>Feb 12</t>
  </si>
  <si>
    <t>Mar 12</t>
  </si>
  <si>
    <t>Apr 12</t>
  </si>
  <si>
    <t>BlackBerry</t>
  </si>
  <si>
    <t>Ad Revenue</t>
  </si>
  <si>
    <t xml:space="preserve">Phone </t>
  </si>
  <si>
    <t>iTouch</t>
  </si>
  <si>
    <t>BlackBerry OS</t>
  </si>
  <si>
    <t>Ad Revenue (Phones)</t>
  </si>
  <si>
    <t>Android Phone</t>
  </si>
  <si>
    <t>Total Tablets</t>
  </si>
  <si>
    <t>Android Tablet</t>
  </si>
  <si>
    <t>% Of Traffic</t>
  </si>
  <si>
    <t>% Of Traffic (Phones)</t>
  </si>
  <si>
    <t xml:space="preserve">Android Phone </t>
  </si>
  <si>
    <t>Kindle Fire</t>
  </si>
  <si>
    <t>Android Tablets</t>
  </si>
  <si>
    <t>Ad Spend Vs. Time Spend 2012</t>
  </si>
  <si>
    <t>Time Spent</t>
  </si>
  <si>
    <t>Ad Spend</t>
  </si>
  <si>
    <t>Web</t>
  </si>
  <si>
    <t>Offline</t>
  </si>
  <si>
    <t>Digital</t>
  </si>
  <si>
    <t>Digital Ad Revenue By Format</t>
  </si>
  <si>
    <t>H1 2012</t>
  </si>
  <si>
    <t>H2 2013</t>
  </si>
  <si>
    <t>Search</t>
  </si>
  <si>
    <t>Display/ Banner</t>
  </si>
  <si>
    <t>Classifieds</t>
  </si>
  <si>
    <t>Digital Video</t>
  </si>
  <si>
    <t>Lead Generation</t>
  </si>
  <si>
    <t>Sponsorship</t>
  </si>
  <si>
    <t>Rich Media</t>
  </si>
  <si>
    <t>Desktop Internet</t>
  </si>
  <si>
    <t>Mobile Internet</t>
  </si>
  <si>
    <t> </t>
  </si>
  <si>
    <t>$</t>
  </si>
  <si>
    <t>Latin America</t>
  </si>
  <si>
    <t>Middle East and Africa</t>
  </si>
  <si>
    <t>Central Europe</t>
  </si>
  <si>
    <t>Asia-Pacific</t>
  </si>
  <si>
    <t>Western Europe</t>
  </si>
  <si>
    <t>North America</t>
  </si>
  <si>
    <t>Global Advertising Revenue</t>
  </si>
  <si>
    <t>Display</t>
  </si>
  <si>
    <t>Messaging</t>
  </si>
  <si>
    <t xml:space="preserve">Jun 12 </t>
  </si>
  <si>
    <t>Nov 09</t>
  </si>
  <si>
    <t>Oct 09</t>
  </si>
  <si>
    <t>Sep 09</t>
  </si>
  <si>
    <t>Aug 09</t>
  </si>
  <si>
    <t>Jul 09</t>
  </si>
  <si>
    <t>Jun 09</t>
  </si>
  <si>
    <t>May 09</t>
  </si>
  <si>
    <t>Apr 09</t>
  </si>
  <si>
    <t>Mar 09</t>
  </si>
  <si>
    <t>Feb 09</t>
  </si>
  <si>
    <t>Jan 09</t>
  </si>
  <si>
    <t>Ask Jeeves</t>
  </si>
  <si>
    <t>YANDEX RU</t>
  </si>
  <si>
    <t>bing</t>
  </si>
  <si>
    <t>Yahoo!</t>
  </si>
  <si>
    <t>Google</t>
  </si>
  <si>
    <t>StatCounter</t>
  </si>
  <si>
    <t>What is the next big thing in mobile?</t>
  </si>
  <si>
    <t>Connected TV</t>
  </si>
  <si>
    <t xml:space="preserve">Everything As A Service </t>
  </si>
  <si>
    <t>Indoor Location</t>
  </si>
  <si>
    <t>Distance Learning</t>
  </si>
  <si>
    <t>Mobile Advertising</t>
  </si>
  <si>
    <t>Mobile Health</t>
  </si>
  <si>
    <t>Mobile Wallet</t>
  </si>
  <si>
    <t>Connected Car</t>
  </si>
  <si>
    <t xml:space="preserve">Source: Bloomberg West, Survey Monkey </t>
  </si>
  <si>
    <t>Recon Ski Goggles</t>
  </si>
  <si>
    <t>Bodymedia Fitcore</t>
  </si>
  <si>
    <t>Jawbone UP</t>
  </si>
  <si>
    <t>Pebble Watch</t>
  </si>
  <si>
    <t>Fitbit</t>
  </si>
  <si>
    <t>Nike+ Fuelband Or Activity Tracker</t>
  </si>
  <si>
    <t xml:space="preserve">Which Wearable Device Do You Own? </t>
  </si>
  <si>
    <t>Yes</t>
  </si>
  <si>
    <t>No</t>
  </si>
  <si>
    <t>Do You Own A Wearable Device?</t>
  </si>
  <si>
    <t>Pebble Data</t>
  </si>
  <si>
    <t>USA Shipped</t>
  </si>
  <si>
    <t>Rest-Of-World Shipped</t>
  </si>
  <si>
    <t>Shipped</t>
  </si>
  <si>
    <t>Pre-Orders</t>
  </si>
  <si>
    <t>Month 1</t>
  </si>
  <si>
    <t>Month 2</t>
  </si>
  <si>
    <t>Galaxy Gear</t>
  </si>
  <si>
    <t>Pebble</t>
  </si>
  <si>
    <t>Galaxy Gear Possible Shipments</t>
  </si>
  <si>
    <t>Surface RT Sales:Shipments ratio = 56%</t>
  </si>
  <si>
    <t>Which Type Of Wearable Device Interests Your Most?</t>
  </si>
  <si>
    <t>Tech-Sensitive Textiles And Clothing</t>
  </si>
  <si>
    <t>Headset/Eyeglasses</t>
  </si>
  <si>
    <t>Sensor-Enabled Wristwear</t>
  </si>
  <si>
    <t>Medical Devices That Transmit Data</t>
  </si>
  <si>
    <t>n=</t>
  </si>
  <si>
    <t>SurveyMonkey/Bloomberg West, 2013</t>
  </si>
  <si>
    <t>http://www.slideshare.net/SurveyMonkey/surveymonkey-shakedown-wearable-computer-devices</t>
  </si>
  <si>
    <t>Would You Feel Comforable If Someone You Were Interacting With Were Wearing Glasses Like These?</t>
  </si>
  <si>
    <t xml:space="preserve">No </t>
  </si>
  <si>
    <t>Not Sure</t>
  </si>
  <si>
    <t>YouGov, May 2013</t>
  </si>
  <si>
    <t>http://cdn.yougov.com/cumulus_uploads/document/psdu0hipzj/tabs_googleglass_0508092013.pdf</t>
  </si>
  <si>
    <t>In The Car</t>
  </si>
  <si>
    <t>Working</t>
  </si>
  <si>
    <t>Sleeping</t>
  </si>
  <si>
    <t>Leisure And Sports</t>
  </si>
  <si>
    <t>Eating And Drinking</t>
  </si>
  <si>
    <t>Household Activities</t>
  </si>
  <si>
    <t>Embedded</t>
  </si>
  <si>
    <t>Tethered</t>
  </si>
  <si>
    <t>Integration Systems</t>
  </si>
  <si>
    <t>Dec-13*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</si>
</sst>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\ ;\(#,##0.0\)"/>
    <numFmt numFmtId="166" formatCode="&quot;$&quot;0.00_)"/>
    <numFmt numFmtId="167" formatCode="_(&quot;$&quot;* #,##0.00_);_(&quot;$&quot;* \(\ #,##0.00\ \);_(&quot;$&quot;* &quot;-&quot;??_);_(\ @_ \)"/>
    <numFmt numFmtId="168" formatCode="#,##0.0_);\(#,##0.0\)"/>
    <numFmt numFmtId="169" formatCode="#,##0.0\ ;\(#,##0.0\)"/>
    <numFmt numFmtId="170" formatCode="#,##0___);\(#,##0.00\)"/>
    <numFmt numFmtId="171" formatCode="#,##0&quot;%&quot;"/>
    <numFmt numFmtId="172" formatCode="0.0%"/>
    <numFmt numFmtId="173" formatCode="[$€-2]\ #,##0"/>
    <numFmt numFmtId="174" formatCode="[$-409]mmm\-yy;@"/>
    <numFmt numFmtId="175" formatCode="##,##0"/>
    <numFmt numFmtId="176" formatCode="0.0"/>
    <numFmt numFmtId="177" formatCode="&quot;$&quot;#,##0"/>
    <numFmt numFmtId="178" formatCode="[$$-45C]\ #,##0"/>
    <numFmt numFmtId="179" formatCode="yyyy\-mm\-dd"/>
    <numFmt numFmtId="180" formatCode="_(&quot;$&quot;* #,##0_);_(&quot;$&quot;* \(#,##0\);_(&quot;$&quot;* &quot;-&quot;??_);_(@_)"/>
    <numFmt numFmtId="181" formatCode="_([$$-409]* #,##0_);_([$$-409]* \(#,##0\);_([$$-409]* &quot;-&quot;_);_(@_)"/>
    <numFmt numFmtId="182" formatCode="&quot;$&quot;#,##0.00"/>
    <numFmt numFmtId="183" formatCode="_([$$-409]* #,##0.00_);_([$$-409]* \(#,##0.00\);_([$$-409]* &quot;-&quot;??_);_(@_)"/>
    <numFmt numFmtId="184" formatCode="m/d/yy;@"/>
    <numFmt numFmtId="185" formatCode="0.000"/>
    <numFmt numFmtId="186" formatCode="&quot;$&quot;#,##0.0"/>
    <numFmt numFmtId="187" formatCode="#,##0.0"/>
  </numFmts>
  <fonts count="4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0"/>
      <name val="Arial"/>
      <family val="2"/>
    </font>
    <font>
      <sz val="9"/>
      <color indexed="0"/>
      <name val="Arial"/>
      <family val="2"/>
    </font>
    <font>
      <b/>
      <sz val="12"/>
      <name val="Times"/>
    </font>
    <font>
      <b/>
      <i/>
      <sz val="12"/>
      <name val="Times"/>
    </font>
    <font>
      <sz val="10"/>
      <name val="Helvetica"/>
    </font>
    <font>
      <sz val="10"/>
      <name val="Verdana"/>
    </font>
    <font>
      <sz val="10"/>
      <name val="Arial"/>
      <family val="2"/>
    </font>
    <font>
      <sz val="10"/>
      <color indexed="12"/>
      <name val="Helvetica"/>
    </font>
    <font>
      <sz val="10"/>
      <name val="Tahoma"/>
    </font>
    <font>
      <sz val="10"/>
      <color rgb="FF000000"/>
      <name val="Times New Roman"/>
    </font>
    <font>
      <b/>
      <sz val="9"/>
      <color indexed="2"/>
      <name val="Arial"/>
      <family val="2"/>
    </font>
    <font>
      <sz val="9"/>
      <color indexed="2"/>
      <name val="Arial"/>
      <family val="2"/>
    </font>
    <font>
      <sz val="8"/>
      <name val="Helvetica"/>
    </font>
    <font>
      <sz val="11"/>
      <color indexed="8"/>
      <name val="Calibri"/>
      <family val="2"/>
    </font>
    <font>
      <sz val="9"/>
      <name val="Arial"/>
    </font>
    <font>
      <sz val="11"/>
      <color theme="1"/>
      <name val="Calibri"/>
      <family val="2"/>
      <scheme val="minor"/>
    </font>
    <font>
      <sz val="10"/>
      <name val="MS Sans Serif"/>
    </font>
    <font>
      <sz val="12"/>
      <color indexed="8"/>
      <name val="Calibri"/>
    </font>
    <font>
      <sz val="10"/>
      <name val="Times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12"/>
      <name val="Calibri"/>
    </font>
    <font>
      <i/>
      <sz val="12"/>
      <color theme="1"/>
      <name val="Calibri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Arial"/>
      <family val="2"/>
    </font>
    <font>
      <sz val="13"/>
      <color rgb="FF333333"/>
      <name val="Verdana"/>
    </font>
    <font>
      <vertAlign val="superscript"/>
      <sz val="10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3"/>
      <color rgb="FF333333"/>
      <name val="Arial"/>
    </font>
    <font>
      <b/>
      <i/>
      <sz val="12"/>
      <color theme="1"/>
      <name val="Calibri"/>
      <scheme val="minor"/>
    </font>
    <font>
      <sz val="16"/>
      <color rgb="FF62676B"/>
      <name val="Arial"/>
    </font>
    <font>
      <sz val="12"/>
      <color rgb="FF000000"/>
      <name val="Times New Roman"/>
    </font>
    <font>
      <sz val="14"/>
      <color rgb="FF000000"/>
      <name val="Times New Roman"/>
    </font>
    <font>
      <i/>
      <sz val="14"/>
      <color rgb="FF000000"/>
      <name val="Times New Roman"/>
    </font>
    <font>
      <sz val="12"/>
      <color indexed="8"/>
      <name val="Verdana"/>
    </font>
    <font>
      <i/>
      <sz val="10"/>
      <name val="Verdana"/>
    </font>
    <font>
      <b/>
      <sz val="12"/>
      <color indexed="8"/>
      <name val="Verdana"/>
    </font>
    <font>
      <b/>
      <sz val="9"/>
      <color indexed="81"/>
      <name val="Verdana"/>
    </font>
    <font>
      <sz val="9"/>
      <color indexed="81"/>
      <name val="Verdana"/>
    </font>
    <font>
      <b/>
      <sz val="9"/>
      <color indexed="81"/>
      <name val="Arial"/>
      <family val="2"/>
    </font>
    <font>
      <sz val="9"/>
      <color indexed="81"/>
      <name val="Arial"/>
      <family val="2"/>
    </font>
    <font>
      <b/>
      <sz val="12"/>
      <name val="Calibri"/>
      <scheme val="minor"/>
    </font>
    <font>
      <sz val="12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 diagonalDown="1">
      <left/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1">
      <alignment horizontal="left"/>
    </xf>
    <xf numFmtId="0" fontId="4" fillId="0" borderId="1">
      <alignment horizontal="left" wrapText="1"/>
    </xf>
    <xf numFmtId="37" fontId="5" fillId="0" borderId="0"/>
    <xf numFmtId="37" fontId="6" fillId="0" borderId="0"/>
    <xf numFmtId="0" fontId="4" fillId="0" borderId="2">
      <alignment horizontal="right" vertical="center"/>
    </xf>
    <xf numFmtId="0" fontId="3" fillId="2" borderId="3">
      <alignment horizontal="center" vertical="center" wrapText="1"/>
    </xf>
    <xf numFmtId="0" fontId="7" fillId="0" borderId="0"/>
    <xf numFmtId="165" fontId="7" fillId="0" borderId="4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5">
      <protection hidden="1"/>
    </xf>
    <xf numFmtId="167" fontId="11" fillId="0" borderId="0" applyFont="0" applyFill="0" applyBorder="0" applyAlignment="0" applyProtection="0"/>
    <xf numFmtId="44" fontId="9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1">
      <alignment horizontal="left"/>
    </xf>
    <xf numFmtId="0" fontId="14" fillId="0" borderId="1">
      <alignment horizontal="left" wrapText="1"/>
    </xf>
    <xf numFmtId="166" fontId="10" fillId="0" borderId="5">
      <protection hidden="1"/>
    </xf>
    <xf numFmtId="168" fontId="15" fillId="0" borderId="4"/>
    <xf numFmtId="169" fontId="7" fillId="0" borderId="0"/>
    <xf numFmtId="0" fontId="8" fillId="0" borderId="0"/>
    <xf numFmtId="0" fontId="8" fillId="0" borderId="0"/>
    <xf numFmtId="0" fontId="16" fillId="0" borderId="0"/>
    <xf numFmtId="0" fontId="17" fillId="0" borderId="0"/>
    <xf numFmtId="0" fontId="9" fillId="0" borderId="0">
      <alignment vertical="center"/>
    </xf>
    <xf numFmtId="0" fontId="8" fillId="0" borderId="0"/>
    <xf numFmtId="0" fontId="9" fillId="0" borderId="0"/>
    <xf numFmtId="0" fontId="17" fillId="0" borderId="0"/>
    <xf numFmtId="0" fontId="18" fillId="0" borderId="0"/>
    <xf numFmtId="0" fontId="1" fillId="0" borderId="0"/>
    <xf numFmtId="0" fontId="12" fillId="0" borderId="0">
      <alignment vertical="center"/>
    </xf>
    <xf numFmtId="0" fontId="4" fillId="0" borderId="6">
      <alignment horizontal="left" vertical="center" wrapText="1"/>
    </xf>
    <xf numFmtId="170" fontId="19" fillId="0" borderId="0"/>
    <xf numFmtId="171" fontId="10" fillId="0" borderId="0">
      <protection hidden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5" fillId="0" borderId="0"/>
    <xf numFmtId="0" fontId="4" fillId="0" borderId="2">
      <alignment horizontal="left" vertical="center" wrapText="1"/>
    </xf>
    <xf numFmtId="37" fontId="21" fillId="0" borderId="7"/>
    <xf numFmtId="0" fontId="3" fillId="0" borderId="0">
      <alignment horizontal="left" vertical="center" wrapText="1"/>
    </xf>
    <xf numFmtId="37" fontId="21" fillId="0" borderId="4"/>
    <xf numFmtId="37" fontId="21" fillId="0" borderId="8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9">
    <xf numFmtId="0" fontId="0" fillId="0" borderId="0" xfId="0"/>
    <xf numFmtId="0" fontId="0" fillId="0" borderId="0" xfId="0" applyFill="1"/>
    <xf numFmtId="3" fontId="0" fillId="0" borderId="0" xfId="0" applyNumberFormat="1" applyFill="1"/>
    <xf numFmtId="164" fontId="0" fillId="0" borderId="0" xfId="1" applyNumberFormat="1" applyFont="1" applyFill="1"/>
    <xf numFmtId="164" fontId="0" fillId="0" borderId="0" xfId="0" applyNumberFormat="1" applyFill="1"/>
    <xf numFmtId="0" fontId="0" fillId="3" borderId="0" xfId="0" applyFill="1"/>
    <xf numFmtId="3" fontId="0" fillId="3" borderId="0" xfId="0" applyNumberFormat="1" applyFill="1"/>
    <xf numFmtId="43" fontId="0" fillId="3" borderId="0" xfId="0" applyNumberFormat="1" applyFill="1"/>
    <xf numFmtId="0" fontId="0" fillId="0" borderId="0" xfId="0" applyFill="1" applyAlignment="1"/>
    <xf numFmtId="172" fontId="0" fillId="0" borderId="0" xfId="0" applyNumberFormat="1" applyFill="1"/>
    <xf numFmtId="2" fontId="0" fillId="0" borderId="0" xfId="0" applyNumberFormat="1" applyFill="1"/>
    <xf numFmtId="44" fontId="0" fillId="0" borderId="0" xfId="2" applyFont="1"/>
    <xf numFmtId="0" fontId="2" fillId="0" borderId="0" xfId="0" applyFont="1"/>
    <xf numFmtId="3" fontId="0" fillId="0" borderId="0" xfId="0" applyNumberFormat="1"/>
    <xf numFmtId="173" fontId="0" fillId="0" borderId="0" xfId="0" applyNumberFormat="1"/>
    <xf numFmtId="9" fontId="0" fillId="3" borderId="0" xfId="0" applyNumberFormat="1" applyFill="1"/>
    <xf numFmtId="9" fontId="0" fillId="0" borderId="0" xfId="3" applyFont="1"/>
    <xf numFmtId="9" fontId="0" fillId="0" borderId="0" xfId="0" applyNumberFormat="1"/>
    <xf numFmtId="17" fontId="0" fillId="0" borderId="0" xfId="0" applyNumberFormat="1" applyFill="1"/>
    <xf numFmtId="14" fontId="0" fillId="0" borderId="0" xfId="0" applyNumberFormat="1" applyFill="1"/>
    <xf numFmtId="174" fontId="0" fillId="0" borderId="0" xfId="0" applyNumberFormat="1" applyFill="1"/>
    <xf numFmtId="3" fontId="26" fillId="0" borderId="0" xfId="0" applyNumberFormat="1" applyFont="1" applyFill="1"/>
    <xf numFmtId="175" fontId="0" fillId="0" borderId="9" xfId="0" applyNumberFormat="1" applyFill="1" applyBorder="1" applyAlignment="1">
      <alignment wrapText="1"/>
    </xf>
    <xf numFmtId="0" fontId="25" fillId="0" borderId="0" xfId="0" applyFont="1"/>
    <xf numFmtId="17" fontId="0" fillId="0" borderId="0" xfId="0" applyNumberFormat="1"/>
    <xf numFmtId="174" fontId="0" fillId="0" borderId="0" xfId="0" applyNumberFormat="1"/>
    <xf numFmtId="0" fontId="27" fillId="0" borderId="0" xfId="0" applyFont="1"/>
    <xf numFmtId="0" fontId="0" fillId="0" borderId="0" xfId="1" applyNumberFormat="1" applyFont="1"/>
    <xf numFmtId="176" fontId="0" fillId="0" borderId="0" xfId="0" applyNumberFormat="1"/>
    <xf numFmtId="0" fontId="0" fillId="0" borderId="0" xfId="0" applyNumberFormat="1"/>
    <xf numFmtId="14" fontId="0" fillId="0" borderId="0" xfId="0" applyNumberFormat="1"/>
    <xf numFmtId="1" fontId="0" fillId="0" borderId="0" xfId="0" applyNumberFormat="1"/>
    <xf numFmtId="10" fontId="0" fillId="0" borderId="0" xfId="0" applyNumberFormat="1"/>
    <xf numFmtId="177" fontId="0" fillId="3" borderId="0" xfId="0" applyNumberFormat="1" applyFill="1"/>
    <xf numFmtId="172" fontId="0" fillId="0" borderId="0" xfId="111" applyNumberFormat="1" applyFont="1" applyFill="1"/>
    <xf numFmtId="172" fontId="0" fillId="0" borderId="0" xfId="101" applyNumberFormat="1" applyFont="1" applyFill="1"/>
    <xf numFmtId="9" fontId="0" fillId="0" borderId="0" xfId="0" applyNumberFormat="1" applyFill="1"/>
    <xf numFmtId="9" fontId="0" fillId="0" borderId="0" xfId="101" applyFont="1" applyFill="1"/>
    <xf numFmtId="0" fontId="2" fillId="0" borderId="0" xfId="0" applyFont="1" applyFill="1"/>
    <xf numFmtId="9" fontId="2" fillId="0" borderId="0" xfId="86" applyFont="1" applyFill="1"/>
    <xf numFmtId="179" fontId="9" fillId="0" borderId="0" xfId="53" applyNumberFormat="1" applyFont="1" applyFill="1" applyBorder="1" applyAlignment="1" applyProtection="1"/>
    <xf numFmtId="1" fontId="0" fillId="0" borderId="0" xfId="0" applyNumberFormat="1" applyFont="1" applyFill="1" applyBorder="1" applyAlignment="1" applyProtection="1"/>
    <xf numFmtId="9" fontId="0" fillId="0" borderId="0" xfId="86" applyFont="1" applyFill="1"/>
    <xf numFmtId="177" fontId="9" fillId="0" borderId="0" xfId="53" applyNumberFormat="1" applyFont="1" applyFill="1" applyBorder="1" applyAlignment="1" applyProtection="1"/>
    <xf numFmtId="177" fontId="0" fillId="0" borderId="0" xfId="0" applyNumberFormat="1" applyFill="1"/>
    <xf numFmtId="1" fontId="0" fillId="0" borderId="0" xfId="0" applyNumberFormat="1" applyFill="1"/>
    <xf numFmtId="43" fontId="0" fillId="0" borderId="0" xfId="1" applyNumberFormat="1" applyFont="1"/>
    <xf numFmtId="181" fontId="0" fillId="0" borderId="0" xfId="0" applyNumberFormat="1"/>
    <xf numFmtId="182" fontId="0" fillId="0" borderId="0" xfId="0" applyNumberFormat="1"/>
    <xf numFmtId="0" fontId="0" fillId="0" borderId="0" xfId="0" applyAlignment="1">
      <alignment wrapText="1"/>
    </xf>
    <xf numFmtId="172" fontId="0" fillId="0" borderId="0" xfId="3" applyNumberFormat="1" applyFont="1"/>
    <xf numFmtId="177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83" fontId="0" fillId="0" borderId="0" xfId="0" applyNumberFormat="1"/>
    <xf numFmtId="2" fontId="0" fillId="0" borderId="0" xfId="0" applyNumberFormat="1"/>
    <xf numFmtId="0" fontId="0" fillId="0" borderId="0" xfId="0" applyBorder="1"/>
    <xf numFmtId="0" fontId="28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 indent="2"/>
    </xf>
    <xf numFmtId="41" fontId="9" fillId="0" borderId="0" xfId="0" applyNumberFormat="1" applyFont="1" applyFill="1" applyBorder="1" applyAlignment="1">
      <alignment horizontal="left" indent="2"/>
    </xf>
    <xf numFmtId="41" fontId="9" fillId="0" borderId="0" xfId="0" applyNumberFormat="1" applyFont="1" applyFill="1" applyBorder="1" applyAlignment="1">
      <alignment horizontal="left"/>
    </xf>
    <xf numFmtId="43" fontId="0" fillId="0" borderId="0" xfId="1" applyFont="1"/>
    <xf numFmtId="41" fontId="28" fillId="0" borderId="0" xfId="0" applyNumberFormat="1" applyFont="1" applyFill="1" applyBorder="1" applyAlignment="1">
      <alignment horizontal="left"/>
    </xf>
    <xf numFmtId="41" fontId="0" fillId="0" borderId="0" xfId="0" applyNumberFormat="1"/>
    <xf numFmtId="0" fontId="0" fillId="0" borderId="0" xfId="0" applyFont="1" applyFill="1"/>
    <xf numFmtId="184" fontId="0" fillId="0" borderId="0" xfId="0" applyNumberFormat="1" applyFill="1"/>
    <xf numFmtId="1" fontId="0" fillId="0" borderId="0" xfId="0" applyNumberFormat="1" applyFont="1" applyFill="1"/>
    <xf numFmtId="0" fontId="29" fillId="0" borderId="0" xfId="0" applyFont="1"/>
    <xf numFmtId="185" fontId="0" fillId="0" borderId="0" xfId="0" applyNumberFormat="1"/>
    <xf numFmtId="8" fontId="0" fillId="0" borderId="0" xfId="0" applyNumberFormat="1"/>
    <xf numFmtId="0" fontId="30" fillId="0" borderId="0" xfId="0" applyFont="1" applyAlignment="1">
      <alignment horizontal="center" vertical="center"/>
    </xf>
    <xf numFmtId="6" fontId="0" fillId="0" borderId="0" xfId="0" applyNumberFormat="1"/>
    <xf numFmtId="1" fontId="29" fillId="0" borderId="0" xfId="0" applyNumberFormat="1" applyFont="1"/>
    <xf numFmtId="8" fontId="29" fillId="0" borderId="0" xfId="0" applyNumberFormat="1" applyFont="1"/>
    <xf numFmtId="14" fontId="29" fillId="0" borderId="0" xfId="0" applyNumberFormat="1" applyFont="1"/>
    <xf numFmtId="164" fontId="29" fillId="0" borderId="0" xfId="1" applyNumberFormat="1" applyFont="1"/>
    <xf numFmtId="164" fontId="29" fillId="0" borderId="0" xfId="0" applyNumberFormat="1" applyFont="1"/>
    <xf numFmtId="43" fontId="0" fillId="0" borderId="0" xfId="0" applyNumberFormat="1"/>
    <xf numFmtId="1" fontId="0" fillId="0" borderId="0" xfId="1" applyNumberFormat="1" applyFont="1" applyFill="1"/>
    <xf numFmtId="164" fontId="0" fillId="0" borderId="0" xfId="1" applyNumberFormat="1" applyFont="1" applyAlignment="1">
      <alignment horizontal="left"/>
    </xf>
    <xf numFmtId="0" fontId="0" fillId="0" borderId="0" xfId="0" applyFont="1"/>
    <xf numFmtId="0" fontId="34" fillId="0" borderId="0" xfId="0" applyFont="1"/>
    <xf numFmtId="0" fontId="35" fillId="0" borderId="0" xfId="0" applyFont="1"/>
    <xf numFmtId="0" fontId="36" fillId="0" borderId="0" xfId="57" applyFont="1" applyFill="1">
      <alignment vertical="center"/>
    </xf>
    <xf numFmtId="0" fontId="12" fillId="0" borderId="0" xfId="57" applyFill="1">
      <alignment vertical="center"/>
    </xf>
    <xf numFmtId="0" fontId="37" fillId="0" borderId="0" xfId="57" applyFont="1" applyFill="1">
      <alignment vertical="center"/>
    </xf>
    <xf numFmtId="180" fontId="37" fillId="0" borderId="0" xfId="38" applyNumberFormat="1" applyFont="1" applyFill="1" applyAlignment="1">
      <alignment vertical="center"/>
    </xf>
    <xf numFmtId="1" fontId="37" fillId="0" borderId="0" xfId="57" applyNumberFormat="1" applyFont="1" applyFill="1">
      <alignment vertical="center"/>
    </xf>
    <xf numFmtId="9" fontId="38" fillId="0" borderId="0" xfId="94" applyNumberFormat="1" applyFont="1" applyFill="1" applyAlignment="1">
      <alignment vertical="center"/>
    </xf>
    <xf numFmtId="9" fontId="0" fillId="3" borderId="0" xfId="102" applyFont="1" applyFill="1"/>
    <xf numFmtId="164" fontId="0" fillId="3" borderId="0" xfId="20" applyNumberFormat="1" applyFont="1" applyFill="1"/>
    <xf numFmtId="0" fontId="0" fillId="3" borderId="0" xfId="0" applyFill="1" applyBorder="1"/>
    <xf numFmtId="177" fontId="0" fillId="3" borderId="0" xfId="0" applyNumberFormat="1" applyFill="1" applyBorder="1"/>
    <xf numFmtId="9" fontId="0" fillId="0" borderId="0" xfId="79" applyNumberFormat="1" applyFont="1" applyFill="1"/>
    <xf numFmtId="9" fontId="0" fillId="0" borderId="0" xfId="105" applyFont="1" applyFill="1"/>
    <xf numFmtId="9" fontId="0" fillId="0" borderId="0" xfId="3" applyFont="1" applyFill="1"/>
    <xf numFmtId="9" fontId="0" fillId="0" borderId="0" xfId="105" applyNumberFormat="1" applyFont="1" applyFill="1"/>
    <xf numFmtId="9" fontId="0" fillId="0" borderId="0" xfId="79" applyFont="1" applyFill="1"/>
    <xf numFmtId="172" fontId="0" fillId="0" borderId="0" xfId="79" applyNumberFormat="1" applyFont="1" applyFill="1"/>
    <xf numFmtId="9" fontId="0" fillId="0" borderId="0" xfId="95" applyFont="1" applyFill="1"/>
    <xf numFmtId="182" fontId="0" fillId="0" borderId="0" xfId="0" applyNumberFormat="1" applyFill="1"/>
    <xf numFmtId="186" fontId="0" fillId="0" borderId="0" xfId="0" applyNumberFormat="1" applyFill="1"/>
    <xf numFmtId="9" fontId="0" fillId="0" borderId="0" xfId="3" applyNumberFormat="1" applyFont="1" applyFill="1"/>
    <xf numFmtId="172" fontId="0" fillId="0" borderId="0" xfId="3" applyNumberFormat="1" applyFont="1" applyFill="1"/>
    <xf numFmtId="0" fontId="8" fillId="0" borderId="0" xfId="47" applyFill="1"/>
    <xf numFmtId="0" fontId="8" fillId="0" borderId="0" xfId="47" quotePrefix="1" applyFill="1"/>
    <xf numFmtId="0" fontId="27" fillId="0" borderId="0" xfId="0" applyFont="1" applyFill="1"/>
    <xf numFmtId="9" fontId="27" fillId="0" borderId="0" xfId="0" applyNumberFormat="1" applyFont="1" applyFill="1"/>
    <xf numFmtId="9" fontId="0" fillId="0" borderId="0" xfId="74" applyFont="1" applyFill="1"/>
    <xf numFmtId="16" fontId="8" fillId="0" borderId="0" xfId="47" quotePrefix="1" applyNumberFormat="1" applyFill="1"/>
    <xf numFmtId="9" fontId="0" fillId="0" borderId="0" xfId="74" applyNumberFormat="1" applyFont="1" applyFill="1"/>
    <xf numFmtId="9" fontId="0" fillId="0" borderId="0" xfId="71" applyFont="1"/>
    <xf numFmtId="9" fontId="0" fillId="0" borderId="0" xfId="126" applyFont="1"/>
    <xf numFmtId="9" fontId="0" fillId="0" borderId="0" xfId="102" applyFont="1" applyFill="1"/>
    <xf numFmtId="164" fontId="0" fillId="0" borderId="0" xfId="20" applyNumberFormat="1" applyFont="1" applyFill="1"/>
    <xf numFmtId="174" fontId="0" fillId="0" borderId="0" xfId="0" quotePrefix="1" applyNumberFormat="1" applyFill="1"/>
    <xf numFmtId="8" fontId="0" fillId="0" borderId="0" xfId="0" applyNumberFormat="1" applyFont="1" applyFill="1" applyAlignment="1">
      <alignment wrapText="1"/>
    </xf>
    <xf numFmtId="8" fontId="0" fillId="0" borderId="0" xfId="0" applyNumberFormat="1" applyFont="1" applyFill="1" applyAlignment="1">
      <alignment horizontal="right" wrapText="1"/>
    </xf>
    <xf numFmtId="164" fontId="0" fillId="0" borderId="0" xfId="24" applyNumberFormat="1" applyFont="1" applyFill="1" applyAlignment="1">
      <alignment horizontal="right" wrapText="1"/>
    </xf>
    <xf numFmtId="3" fontId="0" fillId="0" borderId="0" xfId="24" applyNumberFormat="1" applyFont="1" applyFill="1" applyAlignment="1">
      <alignment horizontal="right" wrapText="1"/>
    </xf>
    <xf numFmtId="8" fontId="0" fillId="0" borderId="0" xfId="0" applyNumberFormat="1" applyFill="1"/>
    <xf numFmtId="9" fontId="0" fillId="0" borderId="0" xfId="85" applyFont="1" applyFill="1"/>
    <xf numFmtId="8" fontId="0" fillId="0" borderId="0" xfId="24" applyNumberFormat="1" applyFont="1" applyFill="1" applyAlignment="1">
      <alignment horizontal="right" wrapText="1"/>
    </xf>
    <xf numFmtId="0" fontId="0" fillId="0" borderId="0" xfId="0" applyFill="1" applyAlignment="1">
      <alignment horizontal="right"/>
    </xf>
    <xf numFmtId="0" fontId="0" fillId="0" borderId="0" xfId="24" applyNumberFormat="1" applyFont="1" applyFill="1" applyAlignment="1">
      <alignment horizontal="right" wrapText="1"/>
    </xf>
    <xf numFmtId="164" fontId="0" fillId="0" borderId="0" xfId="24" applyNumberFormat="1" applyFont="1" applyFill="1"/>
    <xf numFmtId="0" fontId="0" fillId="0" borderId="0" xfId="24" applyNumberFormat="1" applyFont="1" applyFill="1"/>
    <xf numFmtId="43" fontId="0" fillId="0" borderId="0" xfId="0" applyNumberFormat="1" applyFill="1"/>
    <xf numFmtId="0" fontId="0" fillId="0" borderId="0" xfId="85" applyNumberFormat="1" applyFont="1" applyFill="1"/>
    <xf numFmtId="9" fontId="0" fillId="0" borderId="0" xfId="85" applyNumberFormat="1" applyFont="1" applyFill="1"/>
    <xf numFmtId="172" fontId="0" fillId="0" borderId="0" xfId="85" applyNumberFormat="1" applyFont="1" applyFill="1"/>
    <xf numFmtId="0" fontId="24" fillId="0" borderId="0" xfId="0" applyNumberFormat="1" applyFont="1" applyFill="1" applyAlignment="1">
      <alignment horizontal="right" wrapText="1"/>
    </xf>
    <xf numFmtId="3" fontId="20" fillId="0" borderId="0" xfId="0" applyNumberFormat="1" applyFont="1" applyFill="1" applyBorder="1" applyAlignment="1">
      <alignment wrapText="1"/>
    </xf>
    <xf numFmtId="164" fontId="0" fillId="0" borderId="0" xfId="13" applyNumberFormat="1" applyFont="1" applyFill="1"/>
    <xf numFmtId="164" fontId="20" fillId="0" borderId="0" xfId="1" applyNumberFormat="1" applyFont="1" applyFill="1" applyAlignment="1">
      <alignment horizontal="right" wrapText="1"/>
    </xf>
    <xf numFmtId="0" fontId="2" fillId="0" borderId="0" xfId="0" applyFont="1" applyFill="1" applyAlignment="1">
      <alignment horizontal="right"/>
    </xf>
    <xf numFmtId="178" fontId="0" fillId="0" borderId="0" xfId="0" applyNumberFormat="1" applyFill="1"/>
    <xf numFmtId="6" fontId="0" fillId="0" borderId="0" xfId="0" applyNumberFormat="1" applyFill="1"/>
    <xf numFmtId="180" fontId="0" fillId="0" borderId="0" xfId="40" applyNumberFormat="1" applyFont="1" applyFill="1"/>
    <xf numFmtId="9" fontId="0" fillId="0" borderId="0" xfId="71" applyFont="1" applyFill="1"/>
    <xf numFmtId="0" fontId="0" fillId="0" borderId="0" xfId="0" quotePrefix="1" applyFill="1" applyAlignment="1">
      <alignment horizontal="right"/>
    </xf>
    <xf numFmtId="0" fontId="0" fillId="0" borderId="0" xfId="0" applyFill="1" applyAlignment="1">
      <alignment wrapText="1"/>
    </xf>
    <xf numFmtId="0" fontId="0" fillId="0" borderId="0" xfId="0" applyNumberFormat="1" applyFill="1"/>
    <xf numFmtId="14" fontId="0" fillId="0" borderId="0" xfId="0" quotePrefix="1" applyNumberFormat="1" applyFill="1"/>
    <xf numFmtId="0" fontId="0" fillId="0" borderId="0" xfId="0" quotePrefix="1" applyFill="1"/>
    <xf numFmtId="17" fontId="0" fillId="0" borderId="0" xfId="0" quotePrefix="1" applyNumberFormat="1" applyFill="1"/>
    <xf numFmtId="164" fontId="20" fillId="0" borderId="0" xfId="19" applyNumberFormat="1" applyFont="1" applyFill="1" applyAlignment="1">
      <alignment horizontal="right" wrapText="1"/>
    </xf>
    <xf numFmtId="164" fontId="0" fillId="0" borderId="0" xfId="19" applyNumberFormat="1" applyFont="1" applyFill="1"/>
    <xf numFmtId="9" fontId="0" fillId="0" borderId="0" xfId="71" applyNumberFormat="1" applyFont="1" applyFill="1"/>
    <xf numFmtId="172" fontId="0" fillId="0" borderId="0" xfId="71" applyNumberFormat="1" applyFont="1" applyFill="1"/>
    <xf numFmtId="0" fontId="8" fillId="0" borderId="0" xfId="48" applyFill="1"/>
    <xf numFmtId="0" fontId="8" fillId="0" borderId="0" xfId="48" quotePrefix="1" applyFill="1"/>
    <xf numFmtId="16" fontId="8" fillId="0" borderId="0" xfId="48" quotePrefix="1" applyNumberFormat="1" applyFill="1"/>
    <xf numFmtId="0" fontId="0" fillId="0" borderId="0" xfId="48" quotePrefix="1" applyFont="1" applyFill="1"/>
    <xf numFmtId="9" fontId="0" fillId="0" borderId="0" xfId="116" applyFont="1" applyFill="1"/>
    <xf numFmtId="9" fontId="0" fillId="0" borderId="0" xfId="116" applyFont="1" applyFill="1" applyAlignment="1">
      <alignment horizontal="right" wrapText="1"/>
    </xf>
    <xf numFmtId="9" fontId="31" fillId="0" borderId="0" xfId="116" applyFont="1" applyFill="1" applyAlignment="1">
      <alignment horizontal="right" wrapText="1"/>
    </xf>
    <xf numFmtId="9" fontId="0" fillId="0" borderId="0" xfId="116" applyFont="1" applyFill="1" applyAlignment="1">
      <alignment wrapText="1"/>
    </xf>
    <xf numFmtId="9" fontId="8" fillId="0" borderId="0" xfId="48" applyNumberFormat="1" applyFill="1"/>
    <xf numFmtId="9" fontId="8" fillId="0" borderId="0" xfId="116" applyFont="1" applyFill="1" applyAlignment="1">
      <alignment horizontal="right"/>
    </xf>
    <xf numFmtId="9" fontId="0" fillId="0" borderId="0" xfId="116" applyFont="1" applyFill="1" applyAlignment="1">
      <alignment horizontal="right"/>
    </xf>
    <xf numFmtId="1" fontId="9" fillId="0" borderId="0" xfId="48" applyNumberFormat="1" applyFont="1" applyFill="1" applyAlignment="1">
      <alignment wrapText="1"/>
    </xf>
    <xf numFmtId="1" fontId="8" fillId="0" borderId="0" xfId="48" applyNumberFormat="1" applyFill="1"/>
    <xf numFmtId="176" fontId="8" fillId="0" borderId="0" xfId="48" applyNumberFormat="1" applyFill="1"/>
    <xf numFmtId="9" fontId="8" fillId="0" borderId="0" xfId="78" applyFont="1" applyFill="1"/>
    <xf numFmtId="172" fontId="8" fillId="0" borderId="0" xfId="78" applyNumberFormat="1" applyFont="1" applyFill="1"/>
    <xf numFmtId="9" fontId="8" fillId="0" borderId="0" xfId="3" applyFont="1" applyFill="1"/>
    <xf numFmtId="0" fontId="9" fillId="0" borderId="0" xfId="51" applyNumberFormat="1" applyFont="1" applyFill="1" applyAlignment="1">
      <alignment wrapText="1"/>
    </xf>
    <xf numFmtId="0" fontId="9" fillId="0" borderId="0" xfId="51" applyFill="1">
      <alignment vertical="center"/>
    </xf>
    <xf numFmtId="0" fontId="9" fillId="0" borderId="0" xfId="51" applyNumberFormat="1" applyFont="1" applyFill="1" applyAlignment="1">
      <alignment horizontal="right" wrapText="1"/>
    </xf>
    <xf numFmtId="3" fontId="9" fillId="0" borderId="0" xfId="51" applyNumberFormat="1" applyFont="1" applyFill="1" applyAlignment="1">
      <alignment horizontal="right" wrapText="1"/>
    </xf>
    <xf numFmtId="0" fontId="31" fillId="0" borderId="0" xfId="51" applyNumberFormat="1" applyFont="1" applyFill="1" applyAlignment="1">
      <alignment horizontal="right" wrapText="1"/>
    </xf>
    <xf numFmtId="9" fontId="9" fillId="0" borderId="0" xfId="68" applyFont="1" applyFill="1" applyAlignment="1">
      <alignment horizontal="right" wrapText="1"/>
    </xf>
    <xf numFmtId="9" fontId="31" fillId="0" borderId="0" xfId="68" applyFont="1" applyFill="1" applyAlignment="1">
      <alignment horizontal="right" wrapText="1"/>
    </xf>
    <xf numFmtId="9" fontId="9" fillId="0" borderId="0" xfId="68" applyFont="1" applyFill="1" applyAlignment="1">
      <alignment wrapText="1"/>
    </xf>
    <xf numFmtId="187" fontId="9" fillId="0" borderId="0" xfId="51" applyNumberFormat="1" applyFont="1" applyFill="1" applyAlignment="1">
      <alignment wrapText="1"/>
    </xf>
    <xf numFmtId="1" fontId="9" fillId="0" borderId="0" xfId="51" applyNumberFormat="1" applyFill="1">
      <alignment vertical="center"/>
    </xf>
    <xf numFmtId="1" fontId="9" fillId="0" borderId="0" xfId="51" applyNumberFormat="1" applyFont="1" applyFill="1" applyAlignment="1">
      <alignment horizontal="right" wrapText="1"/>
    </xf>
    <xf numFmtId="3" fontId="31" fillId="0" borderId="0" xfId="51" applyNumberFormat="1" applyFont="1" applyFill="1" applyAlignment="1">
      <alignment horizontal="right" wrapText="1"/>
    </xf>
    <xf numFmtId="0" fontId="9" fillId="0" borderId="0" xfId="51" applyNumberFormat="1" applyFont="1" applyFill="1" applyAlignment="1">
      <alignment vertical="top" wrapText="1"/>
    </xf>
    <xf numFmtId="1" fontId="9" fillId="0" borderId="0" xfId="51" applyNumberFormat="1" applyFont="1" applyFill="1" applyAlignment="1">
      <alignment wrapText="1"/>
    </xf>
    <xf numFmtId="9" fontId="9" fillId="0" borderId="0" xfId="68" applyNumberFormat="1" applyFont="1" applyFill="1" applyAlignment="1">
      <alignment wrapText="1"/>
    </xf>
    <xf numFmtId="9" fontId="9" fillId="0" borderId="0" xfId="68" applyFont="1" applyFill="1">
      <alignment vertical="center"/>
    </xf>
    <xf numFmtId="9" fontId="9" fillId="0" borderId="0" xfId="51" applyNumberFormat="1" applyFill="1">
      <alignment vertical="center"/>
    </xf>
    <xf numFmtId="9" fontId="9" fillId="0" borderId="0" xfId="71" applyFont="1" applyFill="1" applyAlignment="1">
      <alignment vertical="center"/>
    </xf>
    <xf numFmtId="0" fontId="0" fillId="0" borderId="0" xfId="91" applyNumberFormat="1" applyFont="1" applyFill="1"/>
    <xf numFmtId="2" fontId="32" fillId="0" borderId="10" xfId="0" applyNumberFormat="1" applyFont="1" applyFill="1" applyBorder="1" applyAlignment="1">
      <alignment horizontal="right" vertical="center" wrapText="1"/>
    </xf>
    <xf numFmtId="3" fontId="33" fillId="0" borderId="0" xfId="0" applyNumberFormat="1" applyFont="1" applyFill="1"/>
    <xf numFmtId="0" fontId="0" fillId="0" borderId="0" xfId="0" applyFill="1" applyBorder="1"/>
    <xf numFmtId="177" fontId="0" fillId="0" borderId="0" xfId="0" applyNumberFormat="1" applyFill="1" applyBorder="1"/>
    <xf numFmtId="180" fontId="0" fillId="0" borderId="0" xfId="2" applyNumberFormat="1" applyFont="1" applyFill="1"/>
    <xf numFmtId="9" fontId="0" fillId="0" borderId="0" xfId="78" applyFont="1" applyFill="1"/>
    <xf numFmtId="0" fontId="8" fillId="0" borderId="0" xfId="47" applyFont="1" applyFill="1"/>
    <xf numFmtId="8" fontId="8" fillId="0" borderId="0" xfId="47" applyNumberFormat="1" applyFont="1" applyFill="1" applyAlignment="1">
      <alignment wrapText="1"/>
    </xf>
    <xf numFmtId="0" fontId="0" fillId="0" borderId="0" xfId="47" applyFont="1" applyFill="1"/>
    <xf numFmtId="9" fontId="8" fillId="0" borderId="0" xfId="102" applyFont="1" applyFill="1"/>
    <xf numFmtId="164" fontId="39" fillId="0" borderId="0" xfId="22" applyNumberFormat="1" applyFont="1" applyFill="1" applyAlignment="1">
      <alignment horizontal="right" wrapText="1"/>
    </xf>
    <xf numFmtId="3" fontId="8" fillId="0" borderId="0" xfId="47" applyNumberFormat="1" applyFill="1"/>
    <xf numFmtId="164" fontId="8" fillId="0" borderId="0" xfId="20" applyNumberFormat="1" applyFont="1" applyFill="1"/>
    <xf numFmtId="164" fontId="8" fillId="0" borderId="0" xfId="47" applyNumberFormat="1" applyFont="1" applyFill="1"/>
    <xf numFmtId="8" fontId="8" fillId="0" borderId="0" xfId="47" applyNumberFormat="1" applyFill="1" applyAlignment="1">
      <alignment wrapText="1"/>
    </xf>
    <xf numFmtId="8" fontId="40" fillId="0" borderId="0" xfId="47" applyNumberFormat="1" applyFont="1" applyFill="1" applyAlignment="1">
      <alignment wrapText="1"/>
    </xf>
    <xf numFmtId="8" fontId="0" fillId="0" borderId="0" xfId="47" applyNumberFormat="1" applyFont="1" applyFill="1" applyAlignment="1">
      <alignment wrapText="1"/>
    </xf>
    <xf numFmtId="164" fontId="8" fillId="0" borderId="0" xfId="47" applyNumberFormat="1" applyFill="1"/>
    <xf numFmtId="172" fontId="8" fillId="0" borderId="0" xfId="102" applyNumberFormat="1" applyFont="1" applyFill="1"/>
    <xf numFmtId="9" fontId="8" fillId="0" borderId="0" xfId="99" applyFont="1" applyFill="1"/>
    <xf numFmtId="8" fontId="41" fillId="0" borderId="0" xfId="47" applyNumberFormat="1" applyFont="1" applyFill="1" applyAlignment="1">
      <alignment horizontal="left" indent="1"/>
    </xf>
    <xf numFmtId="3" fontId="8" fillId="0" borderId="0" xfId="47" applyNumberFormat="1" applyFont="1" applyFill="1"/>
    <xf numFmtId="43" fontId="8" fillId="0" borderId="0" xfId="47" applyNumberFormat="1" applyFont="1" applyFill="1"/>
    <xf numFmtId="172" fontId="9" fillId="0" borderId="0" xfId="87" applyNumberFormat="1" applyFont="1" applyFill="1" applyAlignment="1">
      <alignment vertical="center"/>
    </xf>
    <xf numFmtId="9" fontId="9" fillId="0" borderId="0" xfId="87" applyNumberFormat="1" applyFont="1" applyFill="1" applyAlignment="1">
      <alignment vertical="center"/>
    </xf>
    <xf numFmtId="9" fontId="9" fillId="0" borderId="0" xfId="87" applyFont="1" applyFill="1" applyAlignment="1">
      <alignment vertical="center"/>
    </xf>
    <xf numFmtId="172" fontId="9" fillId="0" borderId="0" xfId="68" applyNumberFormat="1" applyFont="1" applyFill="1" applyAlignment="1">
      <alignment horizontal="right" wrapText="1"/>
    </xf>
    <xf numFmtId="172" fontId="9" fillId="0" borderId="0" xfId="68" applyNumberFormat="1" applyFont="1" applyFill="1" applyAlignment="1">
      <alignment wrapText="1"/>
    </xf>
    <xf numFmtId="172" fontId="9" fillId="0" borderId="0" xfId="51" applyNumberFormat="1" applyFill="1">
      <alignment vertical="center"/>
    </xf>
    <xf numFmtId="164" fontId="8" fillId="0" borderId="0" xfId="21" applyNumberFormat="1" applyFont="1" applyFill="1"/>
    <xf numFmtId="9" fontId="0" fillId="0" borderId="0" xfId="103" applyFont="1" applyFill="1"/>
    <xf numFmtId="164" fontId="0" fillId="0" borderId="0" xfId="21" applyNumberFormat="1" applyFont="1" applyFill="1"/>
    <xf numFmtId="9" fontId="0" fillId="0" borderId="0" xfId="103" applyNumberFormat="1" applyFont="1" applyFill="1"/>
    <xf numFmtId="0" fontId="47" fillId="0" borderId="0" xfId="0" applyFont="1" applyFill="1"/>
    <xf numFmtId="14" fontId="47" fillId="0" borderId="0" xfId="0" applyNumberFormat="1" applyFont="1" applyFill="1"/>
    <xf numFmtId="172" fontId="47" fillId="0" borderId="0" xfId="103" applyNumberFormat="1" applyFont="1" applyFill="1"/>
    <xf numFmtId="10" fontId="47" fillId="0" borderId="0" xfId="0" applyNumberFormat="1" applyFont="1" applyFill="1"/>
    <xf numFmtId="10" fontId="47" fillId="0" borderId="0" xfId="0" applyNumberFormat="1" applyFont="1" applyFill="1" applyAlignment="1"/>
    <xf numFmtId="172" fontId="47" fillId="0" borderId="0" xfId="0" applyNumberFormat="1" applyFont="1" applyFill="1"/>
    <xf numFmtId="0" fontId="47" fillId="0" borderId="0" xfId="0" applyFont="1" applyFill="1" applyAlignment="1"/>
    <xf numFmtId="9" fontId="47" fillId="0" borderId="0" xfId="0" applyNumberFormat="1" applyFont="1" applyFill="1"/>
    <xf numFmtId="9" fontId="47" fillId="0" borderId="0" xfId="103" applyFont="1" applyFill="1"/>
    <xf numFmtId="9" fontId="47" fillId="0" borderId="0" xfId="103" applyNumberFormat="1" applyFont="1" applyFill="1"/>
    <xf numFmtId="0" fontId="46" fillId="0" borderId="0" xfId="0" applyFont="1" applyFill="1"/>
    <xf numFmtId="16" fontId="0" fillId="0" borderId="0" xfId="0" applyNumberFormat="1" applyFill="1"/>
    <xf numFmtId="176" fontId="0" fillId="0" borderId="0" xfId="0" applyNumberFormat="1" applyFill="1"/>
    <xf numFmtId="0" fontId="0" fillId="0" borderId="0" xfId="0" applyFill="1" applyProtection="1">
      <protection locked="0"/>
    </xf>
    <xf numFmtId="10" fontId="0" fillId="0" borderId="0" xfId="0" applyNumberFormat="1" applyFill="1" applyProtection="1">
      <protection locked="0"/>
    </xf>
    <xf numFmtId="0" fontId="0" fillId="0" borderId="0" xfId="0" applyFill="1" applyProtection="1"/>
    <xf numFmtId="10" fontId="0" fillId="0" borderId="0" xfId="0" applyNumberFormat="1" applyFill="1" applyProtection="1"/>
    <xf numFmtId="9" fontId="0" fillId="0" borderId="0" xfId="3" applyFont="1" applyFill="1" applyProtection="1">
      <protection locked="0"/>
    </xf>
    <xf numFmtId="9" fontId="0" fillId="0" borderId="0" xfId="0" applyNumberFormat="1" applyFill="1" applyProtection="1">
      <protection locked="0"/>
    </xf>
    <xf numFmtId="9" fontId="0" fillId="0" borderId="0" xfId="0" applyNumberFormat="1" applyFill="1" applyProtection="1"/>
    <xf numFmtId="0" fontId="25" fillId="0" borderId="0" xfId="0" applyFont="1" applyFill="1"/>
    <xf numFmtId="180" fontId="0" fillId="0" borderId="0" xfId="0" applyNumberFormat="1" applyFill="1"/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6" fillId="0" borderId="0" xfId="0" applyFont="1" applyFill="1" applyAlignment="1">
      <alignment horizontal="center"/>
    </xf>
    <xf numFmtId="10" fontId="47" fillId="0" borderId="0" xfId="0" applyNumberFormat="1" applyFont="1" applyFill="1" applyAlignment="1">
      <alignment horizontal="center"/>
    </xf>
    <xf numFmtId="0" fontId="47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  <protection locked="0"/>
    </xf>
  </cellXfs>
  <cellStyles count="128">
    <cellStyle name="bch" xfId="4"/>
    <cellStyle name="bci" xfId="5"/>
    <cellStyle name="Bold12" xfId="6"/>
    <cellStyle name="BoldItal12" xfId="7"/>
    <cellStyle name="cell" xfId="8"/>
    <cellStyle name="ch" xfId="9"/>
    <cellStyle name="columns" xfId="10"/>
    <cellStyle name="Comma" xfId="1" builtinId="3"/>
    <cellStyle name="comma (0)" xfId="11"/>
    <cellStyle name="Comma 10" xfId="12"/>
    <cellStyle name="Comma 11" xfId="13"/>
    <cellStyle name="Comma 11 2" xfId="14"/>
    <cellStyle name="Comma 11 2 2" xfId="15"/>
    <cellStyle name="Comma 11 3" xfId="16"/>
    <cellStyle name="Comma 12" xfId="17"/>
    <cellStyle name="Comma 13" xfId="18"/>
    <cellStyle name="Comma 14" xfId="19"/>
    <cellStyle name="Comma 15" xfId="20"/>
    <cellStyle name="Comma 16" xfId="21"/>
    <cellStyle name="Comma 17" xfId="125"/>
    <cellStyle name="Comma 2" xfId="22"/>
    <cellStyle name="Comma 2 2" xfId="23"/>
    <cellStyle name="Comma 2 3" xfId="24"/>
    <cellStyle name="Comma 3" xfId="25"/>
    <cellStyle name="Comma 3 2" xfId="26"/>
    <cellStyle name="Comma 3 2 2" xfId="27"/>
    <cellStyle name="Comma 3 3" xfId="28"/>
    <cellStyle name="Comma 4" xfId="29"/>
    <cellStyle name="Comma 5" xfId="30"/>
    <cellStyle name="Comma 6" xfId="31"/>
    <cellStyle name="Comma 7" xfId="32"/>
    <cellStyle name="Comma 8" xfId="33"/>
    <cellStyle name="Comma 9" xfId="34"/>
    <cellStyle name="curr" xfId="35"/>
    <cellStyle name="Currency" xfId="2" builtinId="4"/>
    <cellStyle name="Currency 2" xfId="36"/>
    <cellStyle name="Currency 3" xfId="37"/>
    <cellStyle name="Currency 4" xfId="38"/>
    <cellStyle name="Currency 4 2" xfId="39"/>
    <cellStyle name="Currency 5" xfId="40"/>
    <cellStyle name="Currency 6" xfId="41"/>
    <cellStyle name="dah" xfId="42"/>
    <cellStyle name="dan" xfId="43"/>
    <cellStyle name="eps" xfId="44"/>
    <cellStyle name="negativ" xfId="45"/>
    <cellStyle name="nodollars" xfId="46"/>
    <cellStyle name="Normal" xfId="0" builtinId="0"/>
    <cellStyle name="Normal 2" xfId="47"/>
    <cellStyle name="Normal 2 2" xfId="48"/>
    <cellStyle name="Normal 2 2 2" xfId="49"/>
    <cellStyle name="Normal 2 3" xfId="50"/>
    <cellStyle name="Normal 3" xfId="51"/>
    <cellStyle name="Normal 4" xfId="52"/>
    <cellStyle name="Normal 5" xfId="53"/>
    <cellStyle name="Normal 6" xfId="54"/>
    <cellStyle name="Normal 6 2" xfId="55"/>
    <cellStyle name="Normal 7" xfId="56"/>
    <cellStyle name="Normal 8" xfId="57"/>
    <cellStyle name="orh" xfId="58"/>
    <cellStyle name="over" xfId="59"/>
    <cellStyle name="Percent" xfId="3" builtinId="5"/>
    <cellStyle name="percent (0)" xfId="60"/>
    <cellStyle name="Percent 10" xfId="61"/>
    <cellStyle name="Percent 10 2" xfId="62"/>
    <cellStyle name="Percent 10 3" xfId="63"/>
    <cellStyle name="Percent 10 4" xfId="64"/>
    <cellStyle name="Percent 10 4 2" xfId="65"/>
    <cellStyle name="Percent 10 4 3" xfId="66"/>
    <cellStyle name="Percent 11" xfId="67"/>
    <cellStyle name="Percent 12" xfId="68"/>
    <cellStyle name="Percent 13" xfId="69"/>
    <cellStyle name="Percent 14" xfId="70"/>
    <cellStyle name="Percent 14 2" xfId="71"/>
    <cellStyle name="Percent 15" xfId="72"/>
    <cellStyle name="Percent 16" xfId="73"/>
    <cellStyle name="Percent 16 2" xfId="74"/>
    <cellStyle name="Percent 17" xfId="75"/>
    <cellStyle name="Percent 18" xfId="76"/>
    <cellStyle name="Percent 19" xfId="77"/>
    <cellStyle name="Percent 2" xfId="78"/>
    <cellStyle name="Percent 2 2" xfId="79"/>
    <cellStyle name="Percent 2 2 2" xfId="80"/>
    <cellStyle name="Percent 2 3" xfId="81"/>
    <cellStyle name="Percent 2 4" xfId="82"/>
    <cellStyle name="Percent 2 4 2" xfId="83"/>
    <cellStyle name="Percent 2 5" xfId="84"/>
    <cellStyle name="Percent 2 6" xfId="85"/>
    <cellStyle name="Percent 2 7" xfId="86"/>
    <cellStyle name="Percent 2 8" xfId="87"/>
    <cellStyle name="Percent 20" xfId="88"/>
    <cellStyle name="Percent 21" xfId="89"/>
    <cellStyle name="Percent 22" xfId="90"/>
    <cellStyle name="Percent 23" xfId="91"/>
    <cellStyle name="Percent 24" xfId="92"/>
    <cellStyle name="Percent 25" xfId="93"/>
    <cellStyle name="Percent 26" xfId="94"/>
    <cellStyle name="Percent 26 2" xfId="95"/>
    <cellStyle name="Percent 26 2 2" xfId="126"/>
    <cellStyle name="Percent 27" xfId="96"/>
    <cellStyle name="Percent 28" xfId="97"/>
    <cellStyle name="Percent 29" xfId="98"/>
    <cellStyle name="Percent 3" xfId="99"/>
    <cellStyle name="Percent 3 2" xfId="100"/>
    <cellStyle name="Percent 30" xfId="101"/>
    <cellStyle name="Percent 31" xfId="102"/>
    <cellStyle name="Percent 32" xfId="103"/>
    <cellStyle name="Percent 33" xfId="127"/>
    <cellStyle name="Percent 4" xfId="104"/>
    <cellStyle name="Percent 4 2" xfId="105"/>
    <cellStyle name="Percent 4 2 2" xfId="106"/>
    <cellStyle name="Percent 4 2 2 2" xfId="107"/>
    <cellStyle name="Percent 4 2 3" xfId="108"/>
    <cellStyle name="Percent 4 2 4" xfId="109"/>
    <cellStyle name="Percent 4 2 5" xfId="110"/>
    <cellStyle name="Percent 4 2 6" xfId="111"/>
    <cellStyle name="Percent 5" xfId="112"/>
    <cellStyle name="Percent 5 2" xfId="113"/>
    <cellStyle name="Percent 5 3" xfId="114"/>
    <cellStyle name="Percent 6" xfId="115"/>
    <cellStyle name="Percent 7" xfId="116"/>
    <cellStyle name="Percent 8" xfId="117"/>
    <cellStyle name="Percent 9" xfId="118"/>
    <cellStyle name="posit" xfId="119"/>
    <cellStyle name="rh" xfId="120"/>
    <cellStyle name="SingleTopDoubleBott" xfId="121"/>
    <cellStyle name="srh" xfId="122"/>
    <cellStyle name="Underline" xfId="123"/>
    <cellStyle name="UnderlineDouble" xfId="12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63" Type="http://schemas.openxmlformats.org/officeDocument/2006/relationships/theme" Target="theme/theme1.xml"/><Relationship Id="rId64" Type="http://schemas.openxmlformats.org/officeDocument/2006/relationships/styles" Target="styles.xml"/><Relationship Id="rId65" Type="http://schemas.openxmlformats.org/officeDocument/2006/relationships/sharedStrings" Target="sharedStrings.xml"/><Relationship Id="rId66" Type="http://schemas.openxmlformats.org/officeDocument/2006/relationships/calcChain" Target="calcChain.xml"/><Relationship Id="rId50" Type="http://schemas.openxmlformats.org/officeDocument/2006/relationships/worksheet" Target="worksheets/sheet50.xml"/><Relationship Id="rId51" Type="http://schemas.openxmlformats.org/officeDocument/2006/relationships/worksheet" Target="worksheets/sheet51.xml"/><Relationship Id="rId52" Type="http://schemas.openxmlformats.org/officeDocument/2006/relationships/worksheet" Target="worksheets/sheet52.xml"/><Relationship Id="rId53" Type="http://schemas.openxmlformats.org/officeDocument/2006/relationships/worksheet" Target="worksheets/sheet53.xml"/><Relationship Id="rId54" Type="http://schemas.openxmlformats.org/officeDocument/2006/relationships/worksheet" Target="worksheets/sheet54.xml"/><Relationship Id="rId55" Type="http://schemas.openxmlformats.org/officeDocument/2006/relationships/worksheet" Target="worksheets/sheet55.xml"/><Relationship Id="rId56" Type="http://schemas.openxmlformats.org/officeDocument/2006/relationships/worksheet" Target="worksheets/sheet56.xml"/><Relationship Id="rId57" Type="http://schemas.openxmlformats.org/officeDocument/2006/relationships/worksheet" Target="worksheets/sheet57.xml"/><Relationship Id="rId58" Type="http://schemas.openxmlformats.org/officeDocument/2006/relationships/worksheet" Target="worksheets/sheet58.xml"/><Relationship Id="rId59" Type="http://schemas.openxmlformats.org/officeDocument/2006/relationships/worksheet" Target="worksheets/sheet59.xml"/><Relationship Id="rId40" Type="http://schemas.openxmlformats.org/officeDocument/2006/relationships/worksheet" Target="worksheets/sheet40.xml"/><Relationship Id="rId41" Type="http://schemas.openxmlformats.org/officeDocument/2006/relationships/worksheet" Target="worksheets/sheet41.xml"/><Relationship Id="rId42" Type="http://schemas.openxmlformats.org/officeDocument/2006/relationships/worksheet" Target="worksheets/sheet42.xml"/><Relationship Id="rId43" Type="http://schemas.openxmlformats.org/officeDocument/2006/relationships/worksheet" Target="worksheets/sheet43.xml"/><Relationship Id="rId44" Type="http://schemas.openxmlformats.org/officeDocument/2006/relationships/worksheet" Target="worksheets/sheet44.xml"/><Relationship Id="rId45" Type="http://schemas.openxmlformats.org/officeDocument/2006/relationships/worksheet" Target="worksheets/sheet45.xml"/><Relationship Id="rId46" Type="http://schemas.openxmlformats.org/officeDocument/2006/relationships/worksheet" Target="worksheets/sheet46.xml"/><Relationship Id="rId47" Type="http://schemas.openxmlformats.org/officeDocument/2006/relationships/worksheet" Target="worksheets/sheet47.xml"/><Relationship Id="rId48" Type="http://schemas.openxmlformats.org/officeDocument/2006/relationships/worksheet" Target="worksheets/sheet48.xml"/><Relationship Id="rId49" Type="http://schemas.openxmlformats.org/officeDocument/2006/relationships/worksheet" Target="worksheets/sheet4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worksheet" Target="worksheets/sheet35.xml"/><Relationship Id="rId36" Type="http://schemas.openxmlformats.org/officeDocument/2006/relationships/worksheet" Target="worksheets/sheet36.xml"/><Relationship Id="rId37" Type="http://schemas.openxmlformats.org/officeDocument/2006/relationships/worksheet" Target="worksheets/sheet37.xml"/><Relationship Id="rId38" Type="http://schemas.openxmlformats.org/officeDocument/2006/relationships/worksheet" Target="worksheets/sheet38.xml"/><Relationship Id="rId39" Type="http://schemas.openxmlformats.org/officeDocument/2006/relationships/worksheet" Target="worksheets/sheet3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60" Type="http://schemas.openxmlformats.org/officeDocument/2006/relationships/worksheet" Target="worksheets/sheet60.xml"/><Relationship Id="rId61" Type="http://schemas.openxmlformats.org/officeDocument/2006/relationships/worksheet" Target="worksheets/sheet61.xml"/><Relationship Id="rId62" Type="http://schemas.openxmlformats.org/officeDocument/2006/relationships/worksheet" Target="worksheets/sheet62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9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3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7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9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1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3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7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2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4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5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7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9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1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2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3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4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6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8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0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2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4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6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8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0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2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6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8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0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400">
                <a:solidFill>
                  <a:srgbClr val="000000"/>
                </a:solidFill>
              </a:defRPr>
            </a:pPr>
            <a:r>
              <a:rPr lang="en-US" sz="4400">
                <a:solidFill>
                  <a:srgbClr val="000000"/>
                </a:solidFill>
              </a:rPr>
              <a:t>Global Internet</a:t>
            </a:r>
            <a:r>
              <a:rPr lang="en-US" sz="4400" baseline="0">
                <a:solidFill>
                  <a:srgbClr val="000000"/>
                </a:solidFill>
              </a:rPr>
              <a:t> Connected Device Shipments</a:t>
            </a:r>
            <a:endParaRPr lang="en-US" sz="4400">
              <a:solidFill>
                <a:srgbClr val="000000"/>
              </a:solidFill>
            </a:endParaRPr>
          </a:p>
        </c:rich>
      </c:tx>
      <c:layout/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GlobalConnectDeviceShipments!$A$2</c:f>
              <c:strCache>
                <c:ptCount val="1"/>
                <c:pt idx="0">
                  <c:v>Personal Computers</c:v>
                </c:pt>
              </c:strCache>
            </c:strRef>
          </c:tx>
          <c:spPr>
            <a:solidFill>
              <a:schemeClr val="accent2"/>
            </a:solidFill>
          </c:spPr>
          <c:dLbls>
            <c:dLbl>
              <c:idx val="0"/>
              <c:layout>
                <c:manualLayout>
                  <c:x val="0.0373998219056099"/>
                  <c:y val="-1.74186428005214E-16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 b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GlobalConnectDeviceShipments!$B$1:$O$1</c:f>
              <c:numCache>
                <c:formatCode>General</c:formatCode>
                <c:ptCount val="14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</c:numCache>
            </c:numRef>
          </c:cat>
          <c:val>
            <c:numRef>
              <c:f>GlobalConnectDeviceShipments!$B$2:$O$2</c:f>
              <c:numCache>
                <c:formatCode>#,##0</c:formatCode>
                <c:ptCount val="14"/>
                <c:pt idx="0">
                  <c:v>1.402E8</c:v>
                </c:pt>
                <c:pt idx="1">
                  <c:v>1.25E8</c:v>
                </c:pt>
                <c:pt idx="2">
                  <c:v>1.367E8</c:v>
                </c:pt>
                <c:pt idx="3">
                  <c:v>1.526E8</c:v>
                </c:pt>
                <c:pt idx="4">
                  <c:v>1.83E8</c:v>
                </c:pt>
                <c:pt idx="5">
                  <c:v>2.18626E8</c:v>
                </c:pt>
                <c:pt idx="6">
                  <c:v>2.39211E8</c:v>
                </c:pt>
                <c:pt idx="7">
                  <c:v>2.724525E8</c:v>
                </c:pt>
                <c:pt idx="8">
                  <c:v>2.907976E8</c:v>
                </c:pt>
                <c:pt idx="9">
                  <c:v>3.08341673E8</c:v>
                </c:pt>
                <c:pt idx="10">
                  <c:v>3.50904121E8</c:v>
                </c:pt>
                <c:pt idx="11">
                  <c:v>3.64E8</c:v>
                </c:pt>
                <c:pt idx="12">
                  <c:v>3.52876123E8</c:v>
                </c:pt>
                <c:pt idx="13">
                  <c:v>3.17E8</c:v>
                </c:pt>
              </c:numCache>
            </c:numRef>
          </c:val>
        </c:ser>
        <c:ser>
          <c:idx val="1"/>
          <c:order val="1"/>
          <c:tx>
            <c:strRef>
              <c:f>GlobalConnectDeviceShipments!$A$3</c:f>
              <c:strCache>
                <c:ptCount val="1"/>
                <c:pt idx="0">
                  <c:v>Smartphones</c:v>
                </c:pt>
              </c:strCache>
            </c:strRef>
          </c:tx>
          <c:spPr>
            <a:solidFill>
              <a:schemeClr val="accent1"/>
            </a:solidFill>
          </c:spPr>
          <c:dLbls>
            <c:dLbl>
              <c:idx val="0"/>
              <c:layout>
                <c:manualLayout>
                  <c:x val="0.30545460441827"/>
                  <c:y val="-0.1057008061047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 b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GlobalConnectDeviceShipments!$B$1:$O$1</c:f>
              <c:numCache>
                <c:formatCode>General</c:formatCode>
                <c:ptCount val="14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</c:numCache>
            </c:numRef>
          </c:cat>
          <c:val>
            <c:numRef>
              <c:f>GlobalConnectDeviceShipments!$B$3:$O$3</c:f>
              <c:numCache>
                <c:formatCode>#,##0</c:formatCode>
                <c:ptCount val="1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7.5E7</c:v>
                </c:pt>
                <c:pt idx="7">
                  <c:v>1.2E8</c:v>
                </c:pt>
                <c:pt idx="8">
                  <c:v>1.4E8</c:v>
                </c:pt>
                <c:pt idx="9">
                  <c:v>1.75E8</c:v>
                </c:pt>
                <c:pt idx="10">
                  <c:v>3.0E8</c:v>
                </c:pt>
                <c:pt idx="11">
                  <c:v>4.72E8</c:v>
                </c:pt>
                <c:pt idx="12">
                  <c:v>6.749188E8</c:v>
                </c:pt>
                <c:pt idx="13">
                  <c:v>9.85E8</c:v>
                </c:pt>
              </c:numCache>
            </c:numRef>
          </c:val>
        </c:ser>
        <c:ser>
          <c:idx val="2"/>
          <c:order val="2"/>
          <c:tx>
            <c:strRef>
              <c:f>GlobalConnectDeviceShipments!$A$4</c:f>
              <c:strCache>
                <c:ptCount val="1"/>
                <c:pt idx="0">
                  <c:v>Tablets</c:v>
                </c:pt>
              </c:strCache>
            </c:strRef>
          </c:tx>
          <c:spPr>
            <a:solidFill>
              <a:schemeClr val="accent6"/>
            </a:solidFill>
          </c:spPr>
          <c:dLbls>
            <c:dLbl>
              <c:idx val="0"/>
              <c:layout>
                <c:manualLayout>
                  <c:x val="0.241633760977571"/>
                  <c:y val="-0.30878859857482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 b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GlobalConnectDeviceShipments!$B$1:$O$1</c:f>
              <c:numCache>
                <c:formatCode>General</c:formatCode>
                <c:ptCount val="14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</c:numCache>
            </c:numRef>
          </c:cat>
          <c:val>
            <c:numRef>
              <c:f>GlobalConnectDeviceShipments!$B$4:$O$4</c:f>
              <c:numCache>
                <c:formatCode>#,##0</c:formatCode>
                <c:ptCount val="1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2.9124E7</c:v>
                </c:pt>
                <c:pt idx="11">
                  <c:v>8.7E7</c:v>
                </c:pt>
                <c:pt idx="12">
                  <c:v>1.21079177E8</c:v>
                </c:pt>
                <c:pt idx="13">
                  <c:v>2.278E8</c:v>
                </c:pt>
              </c:numCache>
            </c:numRef>
          </c:val>
        </c:ser>
        <c:ser>
          <c:idx val="3"/>
          <c:order val="3"/>
          <c:tx>
            <c:strRef>
              <c:f>GlobalConnectDeviceShipments!$A$5</c:f>
              <c:strCache>
                <c:ptCount val="1"/>
                <c:pt idx="0">
                  <c:v>Connected/Smart TVs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0.268533772652389"/>
                  <c:y val="-0.364608076009501"/>
                </c:manualLayout>
              </c:layout>
              <c:tx>
                <c:rich>
                  <a:bodyPr/>
                  <a:lstStyle/>
                  <a:p>
                    <a:r>
                      <a:rPr lang="en-US" b="0">
                        <a:solidFill>
                          <a:srgbClr val="000000"/>
                        </a:solidFill>
                      </a:rPr>
                      <a:t>Smart TVs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 b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GlobalConnectDeviceShipments!$B$1:$O$1</c:f>
              <c:numCache>
                <c:formatCode>General</c:formatCode>
                <c:ptCount val="14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</c:numCache>
            </c:numRef>
          </c:cat>
          <c:val>
            <c:numRef>
              <c:f>GlobalConnectDeviceShipments!$B$5:$O$5</c:f>
              <c:numCache>
                <c:formatCode>General</c:formatCode>
                <c:ptCount val="14"/>
                <c:pt idx="9" formatCode="_(* #,##0_);_(* \(#,##0\);_(* &quot;-&quot;??_);_(@_)">
                  <c:v>1.8E7</c:v>
                </c:pt>
                <c:pt idx="10" formatCode="_(* #,##0_);_(* \(#,##0\);_(* &quot;-&quot;??_);_(@_)">
                  <c:v>4.2E7</c:v>
                </c:pt>
                <c:pt idx="11" formatCode="_(* #,##0_);_(* \(#,##0\);_(* &quot;-&quot;??_);_(@_)">
                  <c:v>5.19685039370079E7</c:v>
                </c:pt>
                <c:pt idx="12" formatCode="#,##0">
                  <c:v>6.6E7</c:v>
                </c:pt>
                <c:pt idx="13" formatCode="#,##0">
                  <c:v>1.05E8</c:v>
                </c:pt>
              </c:numCache>
            </c:numRef>
          </c:val>
        </c:ser>
        <c:ser>
          <c:idx val="4"/>
          <c:order val="4"/>
          <c:tx>
            <c:strRef>
              <c:f>GlobalConnectDeviceShipments!$A$6</c:f>
              <c:strCache>
                <c:ptCount val="1"/>
                <c:pt idx="0">
                  <c:v>Wearables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0.294892915980231"/>
                  <c:y val="-0.42399049881235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 b="0" baseline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GlobalConnectDeviceShipments!$B$1:$O$1</c:f>
              <c:numCache>
                <c:formatCode>General</c:formatCode>
                <c:ptCount val="14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</c:numCache>
            </c:numRef>
          </c:cat>
          <c:val>
            <c:numRef>
              <c:f>GlobalConnectDeviceShipments!$B$6:$O$6</c:f>
              <c:numCache>
                <c:formatCode>General</c:formatCode>
                <c:ptCount val="14"/>
                <c:pt idx="10" formatCode="_(* #,##0_);_(* \(#,##0\);_(* &quot;-&quot;??_);_(@_)">
                  <c:v>150000.0</c:v>
                </c:pt>
                <c:pt idx="11" formatCode="_(* #,##0_);_(* \(#,##0\);_(* &quot;-&quot;??_);_(@_)">
                  <c:v>1.5E7</c:v>
                </c:pt>
                <c:pt idx="12" formatCode="_(* #,##0_);_(* \(#,##0\);_(* &quot;-&quot;??_);_(@_)">
                  <c:v>3.0E7</c:v>
                </c:pt>
                <c:pt idx="13" formatCode="_(* #,##0_);_(* \(#,##0\);_(* &quot;-&quot;??_);_(@_)">
                  <c:v>6.0E7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0260104"/>
        <c:axId val="2070266168"/>
      </c:areaChart>
      <c:catAx>
        <c:axId val="2070260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 i="1">
                    <a:solidFill>
                      <a:srgbClr val="000000"/>
                    </a:solidFill>
                  </a:defRPr>
                </a:pPr>
                <a:r>
                  <a:rPr lang="en-US" sz="1800" b="0" i="1">
                    <a:solidFill>
                      <a:srgbClr val="000000"/>
                    </a:solidFill>
                  </a:rPr>
                  <a:t>Source:</a:t>
                </a:r>
                <a:r>
                  <a:rPr lang="en-US" sz="1800" b="0" i="1" baseline="0">
                    <a:solidFill>
                      <a:srgbClr val="000000"/>
                    </a:solidFill>
                  </a:rPr>
                  <a:t> Gartner, IDC, Strategy Analytics, Company Filings, BI Intelligence Estimates</a:t>
                </a:r>
                <a:endParaRPr lang="en-US" sz="1800" b="0" i="1">
                  <a:solidFill>
                    <a:srgbClr val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000180246208927338"/>
              <c:y val="0.97078384798099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70266168"/>
        <c:crosses val="autoZero"/>
        <c:auto val="1"/>
        <c:lblAlgn val="ctr"/>
        <c:lblOffset val="100"/>
        <c:noMultiLvlLbl val="0"/>
      </c:catAx>
      <c:valAx>
        <c:axId val="2070266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r>
                  <a:rPr lang="en-US" sz="2000">
                    <a:solidFill>
                      <a:srgbClr val="000000"/>
                    </a:solidFill>
                  </a:rPr>
                  <a:t>Units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70260104"/>
        <c:crosses val="autoZero"/>
        <c:crossBetween val="midCat"/>
      </c:valAx>
      <c:spPr>
        <a:noFill/>
      </c:spPr>
    </c:plotArea>
    <c:plotVisOnly val="1"/>
    <c:dispBlanksAs val="zero"/>
    <c:showDLblsOverMax val="0"/>
  </c:chart>
  <c:spPr>
    <a:solidFill>
      <a:srgbClr val="FFFFFF"/>
    </a:solidFill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000"/>
            </a:pPr>
            <a:r>
              <a:rPr lang="en-US" sz="4000"/>
              <a:t>U.S. Consumer Media Consumption Share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612405258074549"/>
          <c:y val="0.118423687454404"/>
          <c:w val="0.920741456174527"/>
          <c:h val="0.7593172498805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'consumer media share'!$C$6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'consumer media share'!$B$7:$B$12</c:f>
              <c:strCache>
                <c:ptCount val="6"/>
                <c:pt idx="0">
                  <c:v>TV</c:v>
                </c:pt>
                <c:pt idx="1">
                  <c:v>Online</c:v>
                </c:pt>
                <c:pt idx="2">
                  <c:v>Radio</c:v>
                </c:pt>
                <c:pt idx="3">
                  <c:v>Print</c:v>
                </c:pt>
                <c:pt idx="4">
                  <c:v>Other</c:v>
                </c:pt>
                <c:pt idx="5">
                  <c:v>Mobile</c:v>
                </c:pt>
              </c:strCache>
            </c:strRef>
          </c:cat>
          <c:val>
            <c:numRef>
              <c:f>'consumer media share'!$C$7:$C$12</c:f>
              <c:numCache>
                <c:formatCode>0%</c:formatCode>
                <c:ptCount val="6"/>
                <c:pt idx="0">
                  <c:v>0.45</c:v>
                </c:pt>
                <c:pt idx="1">
                  <c:v>0.25</c:v>
                </c:pt>
                <c:pt idx="2">
                  <c:v>0.17</c:v>
                </c:pt>
                <c:pt idx="3">
                  <c:v>0.09</c:v>
                </c:pt>
                <c:pt idx="4">
                  <c:v>0.07</c:v>
                </c:pt>
                <c:pt idx="5">
                  <c:v>0.04</c:v>
                </c:pt>
              </c:numCache>
            </c:numRef>
          </c:val>
        </c:ser>
        <c:ser>
          <c:idx val="1"/>
          <c:order val="1"/>
          <c:tx>
            <c:strRef>
              <c:f>'consumer media share'!$D$6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'consumer media share'!$B$7:$B$12</c:f>
              <c:strCache>
                <c:ptCount val="6"/>
                <c:pt idx="0">
                  <c:v>TV</c:v>
                </c:pt>
                <c:pt idx="1">
                  <c:v>Online</c:v>
                </c:pt>
                <c:pt idx="2">
                  <c:v>Radio</c:v>
                </c:pt>
                <c:pt idx="3">
                  <c:v>Print</c:v>
                </c:pt>
                <c:pt idx="4">
                  <c:v>Other</c:v>
                </c:pt>
                <c:pt idx="5">
                  <c:v>Mobile</c:v>
                </c:pt>
              </c:strCache>
            </c:strRef>
          </c:cat>
          <c:val>
            <c:numRef>
              <c:f>'consumer media share'!$D$7:$D$12</c:f>
              <c:numCache>
                <c:formatCode>0%</c:formatCode>
                <c:ptCount val="6"/>
                <c:pt idx="0">
                  <c:v>0.44</c:v>
                </c:pt>
                <c:pt idx="1">
                  <c:v>0.26</c:v>
                </c:pt>
                <c:pt idx="2">
                  <c:v>0.16</c:v>
                </c:pt>
                <c:pt idx="3">
                  <c:v>0.08</c:v>
                </c:pt>
                <c:pt idx="4">
                  <c:v>0.08</c:v>
                </c:pt>
                <c:pt idx="5">
                  <c:v>0.06</c:v>
                </c:pt>
              </c:numCache>
            </c:numRef>
          </c:val>
        </c:ser>
        <c:ser>
          <c:idx val="2"/>
          <c:order val="2"/>
          <c:tx>
            <c:strRef>
              <c:f>'consumer media share'!$E$6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'consumer media share'!$B$7:$B$12</c:f>
              <c:strCache>
                <c:ptCount val="6"/>
                <c:pt idx="0">
                  <c:v>TV</c:v>
                </c:pt>
                <c:pt idx="1">
                  <c:v>Online</c:v>
                </c:pt>
                <c:pt idx="2">
                  <c:v>Radio</c:v>
                </c:pt>
                <c:pt idx="3">
                  <c:v>Print</c:v>
                </c:pt>
                <c:pt idx="4">
                  <c:v>Other</c:v>
                </c:pt>
                <c:pt idx="5">
                  <c:v>Mobile</c:v>
                </c:pt>
              </c:strCache>
            </c:strRef>
          </c:cat>
          <c:val>
            <c:numRef>
              <c:f>'consumer media share'!$E$7:$E$12</c:f>
              <c:numCache>
                <c:formatCode>0%</c:formatCode>
                <c:ptCount val="6"/>
                <c:pt idx="0">
                  <c:v>0.43</c:v>
                </c:pt>
                <c:pt idx="1">
                  <c:v>0.26</c:v>
                </c:pt>
                <c:pt idx="2">
                  <c:v>0.15</c:v>
                </c:pt>
                <c:pt idx="3">
                  <c:v>0.07</c:v>
                </c:pt>
                <c:pt idx="4">
                  <c:v>0.07</c:v>
                </c:pt>
                <c:pt idx="5">
                  <c:v>0.09</c:v>
                </c:pt>
              </c:numCache>
            </c:numRef>
          </c:val>
        </c:ser>
        <c:ser>
          <c:idx val="3"/>
          <c:order val="3"/>
          <c:tx>
            <c:strRef>
              <c:f>'consumer media share'!$F$6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'consumer media share'!$B$7:$B$12</c:f>
              <c:strCache>
                <c:ptCount val="6"/>
                <c:pt idx="0">
                  <c:v>TV</c:v>
                </c:pt>
                <c:pt idx="1">
                  <c:v>Online</c:v>
                </c:pt>
                <c:pt idx="2">
                  <c:v>Radio</c:v>
                </c:pt>
                <c:pt idx="3">
                  <c:v>Print</c:v>
                </c:pt>
                <c:pt idx="4">
                  <c:v>Other</c:v>
                </c:pt>
                <c:pt idx="5">
                  <c:v>Mobile</c:v>
                </c:pt>
              </c:strCache>
            </c:strRef>
          </c:cat>
          <c:val>
            <c:numRef>
              <c:f>'consumer media share'!$F$7:$F$12</c:f>
              <c:numCache>
                <c:formatCode>0%</c:formatCode>
                <c:ptCount val="6"/>
                <c:pt idx="0">
                  <c:v>0.42</c:v>
                </c:pt>
                <c:pt idx="1">
                  <c:v>0.26</c:v>
                </c:pt>
                <c:pt idx="2">
                  <c:v>0.14</c:v>
                </c:pt>
                <c:pt idx="3">
                  <c:v>0.06</c:v>
                </c:pt>
                <c:pt idx="4">
                  <c:v>0.05</c:v>
                </c:pt>
                <c:pt idx="5">
                  <c:v>0.12</c:v>
                </c:pt>
              </c:numCache>
            </c:numRef>
          </c:val>
        </c:ser>
        <c:ser>
          <c:idx val="4"/>
          <c:order val="4"/>
          <c:tx>
            <c:strRef>
              <c:f>'consumer media share'!$G$6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'consumer media share'!$B$7:$B$12</c:f>
              <c:strCache>
                <c:ptCount val="6"/>
                <c:pt idx="0">
                  <c:v>TV</c:v>
                </c:pt>
                <c:pt idx="1">
                  <c:v>Online</c:v>
                </c:pt>
                <c:pt idx="2">
                  <c:v>Radio</c:v>
                </c:pt>
                <c:pt idx="3">
                  <c:v>Print</c:v>
                </c:pt>
                <c:pt idx="4">
                  <c:v>Other</c:v>
                </c:pt>
                <c:pt idx="5">
                  <c:v>Mobile</c:v>
                </c:pt>
              </c:strCache>
            </c:strRef>
          </c:cat>
          <c:val>
            <c:numRef>
              <c:f>'consumer media share'!$G$7:$G$12</c:f>
              <c:numCache>
                <c:formatCode>0%</c:formatCode>
                <c:ptCount val="6"/>
                <c:pt idx="0">
                  <c:v>0.38061797752809</c:v>
                </c:pt>
                <c:pt idx="1">
                  <c:v>0.195224719101124</c:v>
                </c:pt>
                <c:pt idx="2">
                  <c:v>0.120786516853933</c:v>
                </c:pt>
                <c:pt idx="3">
                  <c:v>0.0449438202247191</c:v>
                </c:pt>
                <c:pt idx="4">
                  <c:v>0.050561797752809</c:v>
                </c:pt>
                <c:pt idx="5">
                  <c:v>0.198033707865169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90981896"/>
        <c:axId val="2091375496"/>
      </c:barChart>
      <c:catAx>
        <c:axId val="2090981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 b="0" i="1"/>
                  <a:t>Source: eMarketer, August 2013</a:t>
                </a:r>
              </a:p>
            </c:rich>
          </c:tx>
          <c:layout>
            <c:manualLayout>
              <c:xMode val="edge"/>
              <c:yMode val="edge"/>
              <c:x val="0.00026253727629841"/>
              <c:y val="0.975433351579716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1375496"/>
        <c:crosses val="autoZero"/>
        <c:auto val="1"/>
        <c:lblAlgn val="ctr"/>
        <c:lblOffset val="100"/>
        <c:noMultiLvlLbl val="0"/>
      </c:catAx>
      <c:valAx>
        <c:axId val="2091375496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09818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5824970943081"/>
          <c:y val="0.936285041047185"/>
          <c:w val="0.333862893306561"/>
          <c:h val="0.0382243930738604"/>
        </c:manualLayout>
      </c:layout>
      <c:overlay val="0"/>
      <c:txPr>
        <a:bodyPr/>
        <a:lstStyle/>
        <a:p>
          <a:pPr>
            <a:defRPr sz="2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000">
                <a:solidFill>
                  <a:srgbClr val="000000"/>
                </a:solidFill>
              </a:defRPr>
            </a:pPr>
            <a:r>
              <a:rPr lang="en-US" sz="4000">
                <a:solidFill>
                  <a:srgbClr val="000000"/>
                </a:solidFill>
              </a:rPr>
              <a:t>Total User Base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2059233913659"/>
          <c:y val="0.0902612826603325"/>
          <c:w val="0.835017984728756"/>
          <c:h val="0.778861540763462"/>
        </c:manualLayout>
      </c:layout>
      <c:lineChart>
        <c:grouping val="standard"/>
        <c:varyColors val="0"/>
        <c:ser>
          <c:idx val="0"/>
          <c:order val="0"/>
          <c:tx>
            <c:strRef>
              <c:f>WhatsAppInstaSnap!$A$10</c:f>
              <c:strCache>
                <c:ptCount val="1"/>
                <c:pt idx="0">
                  <c:v>Instagram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3"/>
              <c:delete val="1"/>
            </c:dLbl>
            <c:dLbl>
              <c:idx val="24"/>
              <c:delete val="1"/>
            </c:dLbl>
            <c:dLbl>
              <c:idx val="25"/>
              <c:delete val="1"/>
            </c:dLbl>
            <c:dLbl>
              <c:idx val="26"/>
              <c:delete val="1"/>
            </c:dLbl>
            <c:dLbl>
              <c:idx val="27"/>
              <c:delete val="1"/>
            </c:dLbl>
            <c:dLbl>
              <c:idx val="28"/>
              <c:delete val="1"/>
            </c:dLbl>
            <c:dLbl>
              <c:idx val="29"/>
              <c:delete val="1"/>
            </c:dLbl>
            <c:dLbl>
              <c:idx val="30"/>
              <c:delete val="1"/>
            </c:dLbl>
            <c:dLbl>
              <c:idx val="31"/>
              <c:delete val="1"/>
            </c:dLbl>
            <c:dLbl>
              <c:idx val="32"/>
              <c:delete val="1"/>
            </c:dLbl>
            <c:dLbl>
              <c:idx val="33"/>
              <c:delete val="1"/>
            </c:dLbl>
            <c:dLbl>
              <c:idx val="34"/>
              <c:delete val="1"/>
            </c:dLbl>
            <c:dLbl>
              <c:idx val="35"/>
              <c:layout>
                <c:manualLayout>
                  <c:x val="-0.150489759572573"/>
                  <c:y val="0.066508220023566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WhatsAppInstaSnap!$B$9:$AK$9</c:f>
              <c:numCache>
                <c:formatCode>[$-409]mmm\-yy;@</c:formatCode>
                <c:ptCount val="36"/>
                <c:pt idx="0">
                  <c:v>40452.0</c:v>
                </c:pt>
                <c:pt idx="1">
                  <c:v>40483.0</c:v>
                </c:pt>
                <c:pt idx="2">
                  <c:v>40513.0</c:v>
                </c:pt>
                <c:pt idx="3">
                  <c:v>40544.0</c:v>
                </c:pt>
                <c:pt idx="4">
                  <c:v>40575.0</c:v>
                </c:pt>
                <c:pt idx="5">
                  <c:v>40603.0</c:v>
                </c:pt>
                <c:pt idx="6">
                  <c:v>40634.0</c:v>
                </c:pt>
                <c:pt idx="7">
                  <c:v>40664.0</c:v>
                </c:pt>
                <c:pt idx="8">
                  <c:v>40695.0</c:v>
                </c:pt>
                <c:pt idx="9">
                  <c:v>40725.0</c:v>
                </c:pt>
                <c:pt idx="10">
                  <c:v>40756.0</c:v>
                </c:pt>
                <c:pt idx="11">
                  <c:v>40787.0</c:v>
                </c:pt>
                <c:pt idx="12">
                  <c:v>40817.0</c:v>
                </c:pt>
                <c:pt idx="13">
                  <c:v>40848.0</c:v>
                </c:pt>
                <c:pt idx="14">
                  <c:v>40878.0</c:v>
                </c:pt>
                <c:pt idx="15">
                  <c:v>40909.0</c:v>
                </c:pt>
                <c:pt idx="16">
                  <c:v>40940.0</c:v>
                </c:pt>
                <c:pt idx="17">
                  <c:v>40969.0</c:v>
                </c:pt>
                <c:pt idx="18">
                  <c:v>41000.0</c:v>
                </c:pt>
                <c:pt idx="19">
                  <c:v>41030.0</c:v>
                </c:pt>
                <c:pt idx="20">
                  <c:v>41061.0</c:v>
                </c:pt>
                <c:pt idx="21">
                  <c:v>41091.0</c:v>
                </c:pt>
                <c:pt idx="22">
                  <c:v>41122.0</c:v>
                </c:pt>
                <c:pt idx="23">
                  <c:v>41153.0</c:v>
                </c:pt>
                <c:pt idx="24">
                  <c:v>41183.0</c:v>
                </c:pt>
                <c:pt idx="25">
                  <c:v>41214.0</c:v>
                </c:pt>
                <c:pt idx="26">
                  <c:v>41244.0</c:v>
                </c:pt>
                <c:pt idx="27">
                  <c:v>41275.0</c:v>
                </c:pt>
                <c:pt idx="28">
                  <c:v>41306.0</c:v>
                </c:pt>
                <c:pt idx="29">
                  <c:v>41334.0</c:v>
                </c:pt>
                <c:pt idx="30">
                  <c:v>41365.0</c:v>
                </c:pt>
                <c:pt idx="31">
                  <c:v>41395.0</c:v>
                </c:pt>
                <c:pt idx="32">
                  <c:v>41426.0</c:v>
                </c:pt>
                <c:pt idx="33">
                  <c:v>41456.0</c:v>
                </c:pt>
                <c:pt idx="34">
                  <c:v>41487.0</c:v>
                </c:pt>
                <c:pt idx="35">
                  <c:v>41518.0</c:v>
                </c:pt>
              </c:numCache>
            </c:numRef>
          </c:cat>
          <c:val>
            <c:numRef>
              <c:f>WhatsAppInstaSnap!$B$10:$AK$10</c:f>
              <c:numCache>
                <c:formatCode>#,##0</c:formatCode>
                <c:ptCount val="36"/>
                <c:pt idx="0">
                  <c:v>333333.0</c:v>
                </c:pt>
                <c:pt idx="1">
                  <c:v>666666.0</c:v>
                </c:pt>
                <c:pt idx="2">
                  <c:v>1.0E6</c:v>
                </c:pt>
                <c:pt idx="3">
                  <c:v>1.583333E6</c:v>
                </c:pt>
                <c:pt idx="4">
                  <c:v>2.166666E6</c:v>
                </c:pt>
                <c:pt idx="5">
                  <c:v>2.749999E6</c:v>
                </c:pt>
                <c:pt idx="6">
                  <c:v>3.333332E6</c:v>
                </c:pt>
                <c:pt idx="7">
                  <c:v>3.916665E6</c:v>
                </c:pt>
                <c:pt idx="8">
                  <c:v>4.5E6</c:v>
                </c:pt>
                <c:pt idx="9">
                  <c:v>6.0E6</c:v>
                </c:pt>
                <c:pt idx="10">
                  <c:v>7.5E6</c:v>
                </c:pt>
                <c:pt idx="11">
                  <c:v>9.0E6</c:v>
                </c:pt>
                <c:pt idx="12">
                  <c:v>1.1571422E7</c:v>
                </c:pt>
                <c:pt idx="13">
                  <c:v>1.4142844E7</c:v>
                </c:pt>
                <c:pt idx="14">
                  <c:v>1.6714266E7</c:v>
                </c:pt>
                <c:pt idx="15">
                  <c:v>1.9285688E7</c:v>
                </c:pt>
                <c:pt idx="16">
                  <c:v>2.185711E7</c:v>
                </c:pt>
                <c:pt idx="17">
                  <c:v>2.4428532E7</c:v>
                </c:pt>
                <c:pt idx="18">
                  <c:v>3.525E7</c:v>
                </c:pt>
                <c:pt idx="19">
                  <c:v>4.35E7</c:v>
                </c:pt>
                <c:pt idx="20">
                  <c:v>5.175E7</c:v>
                </c:pt>
                <c:pt idx="21">
                  <c:v>6.0E7</c:v>
                </c:pt>
                <c:pt idx="22">
                  <c:v>7.0E7</c:v>
                </c:pt>
                <c:pt idx="23">
                  <c:v>8.0E7</c:v>
                </c:pt>
                <c:pt idx="24">
                  <c:v>8.25E7</c:v>
                </c:pt>
                <c:pt idx="25">
                  <c:v>8.5E7</c:v>
                </c:pt>
                <c:pt idx="26">
                  <c:v>8.75E7</c:v>
                </c:pt>
                <c:pt idx="27">
                  <c:v>9.0E7</c:v>
                </c:pt>
                <c:pt idx="28">
                  <c:v>1.0E8</c:v>
                </c:pt>
                <c:pt idx="29">
                  <c:v>1.06E8</c:v>
                </c:pt>
                <c:pt idx="30">
                  <c:v>1.12E8</c:v>
                </c:pt>
                <c:pt idx="31">
                  <c:v>1.18E8</c:v>
                </c:pt>
                <c:pt idx="32">
                  <c:v>1.3E8</c:v>
                </c:pt>
                <c:pt idx="33">
                  <c:v>1.36666666E8</c:v>
                </c:pt>
                <c:pt idx="34">
                  <c:v>1.43333332E8</c:v>
                </c:pt>
                <c:pt idx="35">
                  <c:v>1.5E8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WhatsAppInstaSnap!$A$11</c:f>
              <c:strCache>
                <c:ptCount val="1"/>
                <c:pt idx="0">
                  <c:v>WhatsApp</c:v>
                </c:pt>
              </c:strCache>
            </c:strRef>
          </c:tx>
          <c:marker>
            <c:symbol val="none"/>
          </c:marker>
          <c:dPt>
            <c:idx val="14"/>
            <c:bubble3D val="0"/>
            <c:spPr>
              <a:ln>
                <a:solidFill>
                  <a:srgbClr val="9BBB59"/>
                </a:solidFill>
              </a:ln>
            </c:spPr>
          </c:dPt>
          <c:dPt>
            <c:idx val="24"/>
            <c:bubble3D val="0"/>
            <c:spPr>
              <a:ln>
                <a:solidFill>
                  <a:srgbClr val="9BBB59"/>
                </a:solidFill>
              </a:ln>
            </c:spPr>
          </c:dPt>
          <c:dPt>
            <c:idx val="30"/>
            <c:bubble3D val="0"/>
            <c:spPr>
              <a:ln>
                <a:solidFill>
                  <a:srgbClr val="9BBB59"/>
                </a:solidFill>
              </a:ln>
            </c:spPr>
          </c:dPt>
          <c:dPt>
            <c:idx val="32"/>
            <c:bubble3D val="0"/>
            <c:spPr>
              <a:ln>
                <a:solidFill>
                  <a:srgbClr val="9BBB59"/>
                </a:solidFill>
              </a:ln>
            </c:spPr>
          </c:dPt>
          <c:dPt>
            <c:idx val="34"/>
            <c:bubble3D val="0"/>
            <c:spPr>
              <a:ln>
                <a:solidFill>
                  <a:schemeClr val="accent3"/>
                </a:solidFill>
              </a:ln>
            </c:spPr>
          </c:dPt>
          <c:dPt>
            <c:idx val="35"/>
            <c:bubble3D val="0"/>
            <c:spPr>
              <a:ln>
                <a:solidFill>
                  <a:srgbClr val="9BBB59"/>
                </a:solidFill>
              </a:ln>
            </c:spPr>
          </c:dPt>
          <c:dLbls>
            <c:dLbl>
              <c:idx val="0"/>
              <c:delete val="1"/>
            </c:dLbl>
            <c:dLbl>
              <c:idx val="14"/>
              <c:delete val="1"/>
            </c:dLbl>
            <c:dLbl>
              <c:idx val="24"/>
              <c:delete val="1"/>
            </c:dLbl>
            <c:dLbl>
              <c:idx val="30"/>
              <c:layout>
                <c:manualLayout>
                  <c:x val="-0.0872663212289915"/>
                  <c:y val="-0.0130641330166271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32"/>
              <c:delete val="1"/>
            </c:dLbl>
            <c:dLbl>
              <c:idx val="34"/>
              <c:delete val="1"/>
            </c:dLbl>
            <c:dLbl>
              <c:idx val="35"/>
              <c:delete val="1"/>
            </c:dLbl>
            <c:txPr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WhatsAppInstaSnap!$B$9:$AK$9</c:f>
              <c:numCache>
                <c:formatCode>[$-409]mmm\-yy;@</c:formatCode>
                <c:ptCount val="36"/>
                <c:pt idx="0">
                  <c:v>40452.0</c:v>
                </c:pt>
                <c:pt idx="1">
                  <c:v>40483.0</c:v>
                </c:pt>
                <c:pt idx="2">
                  <c:v>40513.0</c:v>
                </c:pt>
                <c:pt idx="3">
                  <c:v>40544.0</c:v>
                </c:pt>
                <c:pt idx="4">
                  <c:v>40575.0</c:v>
                </c:pt>
                <c:pt idx="5">
                  <c:v>40603.0</c:v>
                </c:pt>
                <c:pt idx="6">
                  <c:v>40634.0</c:v>
                </c:pt>
                <c:pt idx="7">
                  <c:v>40664.0</c:v>
                </c:pt>
                <c:pt idx="8">
                  <c:v>40695.0</c:v>
                </c:pt>
                <c:pt idx="9">
                  <c:v>40725.0</c:v>
                </c:pt>
                <c:pt idx="10">
                  <c:v>40756.0</c:v>
                </c:pt>
                <c:pt idx="11">
                  <c:v>40787.0</c:v>
                </c:pt>
                <c:pt idx="12">
                  <c:v>40817.0</c:v>
                </c:pt>
                <c:pt idx="13">
                  <c:v>40848.0</c:v>
                </c:pt>
                <c:pt idx="14">
                  <c:v>40878.0</c:v>
                </c:pt>
                <c:pt idx="15">
                  <c:v>40909.0</c:v>
                </c:pt>
                <c:pt idx="16">
                  <c:v>40940.0</c:v>
                </c:pt>
                <c:pt idx="17">
                  <c:v>40969.0</c:v>
                </c:pt>
                <c:pt idx="18">
                  <c:v>41000.0</c:v>
                </c:pt>
                <c:pt idx="19">
                  <c:v>41030.0</c:v>
                </c:pt>
                <c:pt idx="20">
                  <c:v>41061.0</c:v>
                </c:pt>
                <c:pt idx="21">
                  <c:v>41091.0</c:v>
                </c:pt>
                <c:pt idx="22">
                  <c:v>41122.0</c:v>
                </c:pt>
                <c:pt idx="23">
                  <c:v>41153.0</c:v>
                </c:pt>
                <c:pt idx="24">
                  <c:v>41183.0</c:v>
                </c:pt>
                <c:pt idx="25">
                  <c:v>41214.0</c:v>
                </c:pt>
                <c:pt idx="26">
                  <c:v>41244.0</c:v>
                </c:pt>
                <c:pt idx="27">
                  <c:v>41275.0</c:v>
                </c:pt>
                <c:pt idx="28">
                  <c:v>41306.0</c:v>
                </c:pt>
                <c:pt idx="29">
                  <c:v>41334.0</c:v>
                </c:pt>
                <c:pt idx="30">
                  <c:v>41365.0</c:v>
                </c:pt>
                <c:pt idx="31">
                  <c:v>41395.0</c:v>
                </c:pt>
                <c:pt idx="32">
                  <c:v>41426.0</c:v>
                </c:pt>
                <c:pt idx="33">
                  <c:v>41456.0</c:v>
                </c:pt>
                <c:pt idx="34">
                  <c:v>41487.0</c:v>
                </c:pt>
                <c:pt idx="35">
                  <c:v>41518.0</c:v>
                </c:pt>
              </c:numCache>
            </c:numRef>
          </c:cat>
          <c:val>
            <c:numRef>
              <c:f>WhatsAppInstaSnap!$B$11:$AK$11</c:f>
              <c:numCache>
                <c:formatCode>General</c:formatCode>
                <c:ptCount val="36"/>
                <c:pt idx="0" formatCode="_(* #,##0_);_(* \(#,##0\);_(* &quot;-&quot;??_);_(@_)">
                  <c:v>1.0E7</c:v>
                </c:pt>
                <c:pt idx="14" formatCode="_(* #,##0_);_(* \(#,##0\);_(* &quot;-&quot;??_);_(@_)">
                  <c:v>5.0E7</c:v>
                </c:pt>
                <c:pt idx="24" formatCode="_(* #,##0_);_(* \(#,##0\);_(* &quot;-&quot;??_);_(@_)">
                  <c:v>1.0E8</c:v>
                </c:pt>
                <c:pt idx="30" formatCode="_(* #,##0_);_(* \(#,##0\);_(* &quot;-&quot;??_);_(@_)">
                  <c:v>2.0E8</c:v>
                </c:pt>
                <c:pt idx="32" formatCode="_(* #,##0_);_(* \(#,##0\);_(* &quot;-&quot;??_);_(@_)">
                  <c:v>2.5E8</c:v>
                </c:pt>
                <c:pt idx="34" formatCode="_(* #,##0_);_(* \(#,##0\);_(* &quot;-&quot;??_);_(@_)">
                  <c:v>3.0E8</c:v>
                </c:pt>
                <c:pt idx="35" formatCode="_(* #,##0_);_(* \(#,##0\);_(* &quot;-&quot;??_);_(@_)">
                  <c:v>3.5E8</c:v>
                </c:pt>
              </c:numCache>
            </c:numRef>
          </c:val>
          <c:smooth val="0"/>
        </c:ser>
        <c:ser>
          <c:idx val="2"/>
          <c:order val="2"/>
          <c:tx>
            <c:v>Snapchat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dLbls>
            <c:dLbl>
              <c:idx val="25"/>
              <c:delete val="1"/>
            </c:dLbl>
            <c:dLbl>
              <c:idx val="27"/>
              <c:delete val="1"/>
            </c:dLbl>
            <c:dLbl>
              <c:idx val="28"/>
              <c:delete val="1"/>
            </c:dLbl>
            <c:dLbl>
              <c:idx val="29"/>
              <c:delete val="1"/>
            </c:dLbl>
            <c:dLbl>
              <c:idx val="30"/>
              <c:delete val="1"/>
            </c:dLbl>
            <c:dLbl>
              <c:idx val="31"/>
              <c:delete val="1"/>
            </c:dLbl>
            <c:dLbl>
              <c:idx val="32"/>
              <c:delete val="1"/>
            </c:dLbl>
            <c:dLbl>
              <c:idx val="33"/>
              <c:delete val="1"/>
            </c:dLbl>
            <c:dLbl>
              <c:idx val="34"/>
              <c:delete val="1"/>
            </c:dLbl>
            <c:dLbl>
              <c:idx val="35"/>
              <c:layout>
                <c:manualLayout>
                  <c:x val="-0.0899376669634906"/>
                  <c:y val="-0.0071259842519685"/>
                </c:manualLayout>
              </c:layout>
              <c:spPr/>
              <c:txPr>
                <a:bodyPr/>
                <a:lstStyle/>
                <a:p>
                  <a:pPr>
                    <a:defRPr sz="2000"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solidFill>
                      <a:srgbClr val="FFFFFF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WhatsAppInstaSnap!$B$9:$AK$9</c:f>
              <c:numCache>
                <c:formatCode>[$-409]mmm\-yy;@</c:formatCode>
                <c:ptCount val="36"/>
                <c:pt idx="0">
                  <c:v>40452.0</c:v>
                </c:pt>
                <c:pt idx="1">
                  <c:v>40483.0</c:v>
                </c:pt>
                <c:pt idx="2">
                  <c:v>40513.0</c:v>
                </c:pt>
                <c:pt idx="3">
                  <c:v>40544.0</c:v>
                </c:pt>
                <c:pt idx="4">
                  <c:v>40575.0</c:v>
                </c:pt>
                <c:pt idx="5">
                  <c:v>40603.0</c:v>
                </c:pt>
                <c:pt idx="6">
                  <c:v>40634.0</c:v>
                </c:pt>
                <c:pt idx="7">
                  <c:v>40664.0</c:v>
                </c:pt>
                <c:pt idx="8">
                  <c:v>40695.0</c:v>
                </c:pt>
                <c:pt idx="9">
                  <c:v>40725.0</c:v>
                </c:pt>
                <c:pt idx="10">
                  <c:v>40756.0</c:v>
                </c:pt>
                <c:pt idx="11">
                  <c:v>40787.0</c:v>
                </c:pt>
                <c:pt idx="12">
                  <c:v>40817.0</c:v>
                </c:pt>
                <c:pt idx="13">
                  <c:v>40848.0</c:v>
                </c:pt>
                <c:pt idx="14">
                  <c:v>40878.0</c:v>
                </c:pt>
                <c:pt idx="15">
                  <c:v>40909.0</c:v>
                </c:pt>
                <c:pt idx="16">
                  <c:v>40940.0</c:v>
                </c:pt>
                <c:pt idx="17">
                  <c:v>40969.0</c:v>
                </c:pt>
                <c:pt idx="18">
                  <c:v>41000.0</c:v>
                </c:pt>
                <c:pt idx="19">
                  <c:v>41030.0</c:v>
                </c:pt>
                <c:pt idx="20">
                  <c:v>41061.0</c:v>
                </c:pt>
                <c:pt idx="21">
                  <c:v>41091.0</c:v>
                </c:pt>
                <c:pt idx="22">
                  <c:v>41122.0</c:v>
                </c:pt>
                <c:pt idx="23">
                  <c:v>41153.0</c:v>
                </c:pt>
                <c:pt idx="24">
                  <c:v>41183.0</c:v>
                </c:pt>
                <c:pt idx="25">
                  <c:v>41214.0</c:v>
                </c:pt>
                <c:pt idx="26">
                  <c:v>41244.0</c:v>
                </c:pt>
                <c:pt idx="27">
                  <c:v>41275.0</c:v>
                </c:pt>
                <c:pt idx="28">
                  <c:v>41306.0</c:v>
                </c:pt>
                <c:pt idx="29">
                  <c:v>41334.0</c:v>
                </c:pt>
                <c:pt idx="30">
                  <c:v>41365.0</c:v>
                </c:pt>
                <c:pt idx="31">
                  <c:v>41395.0</c:v>
                </c:pt>
                <c:pt idx="32">
                  <c:v>41426.0</c:v>
                </c:pt>
                <c:pt idx="33">
                  <c:v>41456.0</c:v>
                </c:pt>
                <c:pt idx="34">
                  <c:v>41487.0</c:v>
                </c:pt>
                <c:pt idx="35">
                  <c:v>41518.0</c:v>
                </c:pt>
              </c:numCache>
            </c:numRef>
          </c:cat>
          <c:val>
            <c:numRef>
              <c:f>WhatsAppInstaSnap!$B$12:$AK$12</c:f>
              <c:numCache>
                <c:formatCode>General</c:formatCode>
                <c:ptCount val="36"/>
                <c:pt idx="25">
                  <c:v>2.0E6</c:v>
                </c:pt>
                <c:pt idx="27">
                  <c:v>4.121E6</c:v>
                </c:pt>
                <c:pt idx="28">
                  <c:v>7.8E6</c:v>
                </c:pt>
                <c:pt idx="29">
                  <c:v>1.1E7</c:v>
                </c:pt>
                <c:pt idx="30">
                  <c:v>1.45E7</c:v>
                </c:pt>
                <c:pt idx="31">
                  <c:v>1.6E7</c:v>
                </c:pt>
                <c:pt idx="32">
                  <c:v>1.75E7</c:v>
                </c:pt>
                <c:pt idx="33">
                  <c:v>1.9E7</c:v>
                </c:pt>
                <c:pt idx="34">
                  <c:v>2.1E7</c:v>
                </c:pt>
                <c:pt idx="35">
                  <c:v>2.3E7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259032"/>
        <c:axId val="2095853272"/>
      </c:lineChart>
      <c:dateAx>
        <c:axId val="2069259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 i="1">
                    <a:solidFill>
                      <a:srgbClr val="000000"/>
                    </a:solidFill>
                  </a:defRPr>
                </a:pPr>
                <a:r>
                  <a:rPr lang="en-US" sz="1800" b="0" i="1">
                    <a:solidFill>
                      <a:srgbClr val="000000"/>
                    </a:solidFill>
                  </a:rPr>
                  <a:t>Source: News Reports, Company Listings,</a:t>
                </a:r>
                <a:r>
                  <a:rPr lang="en-US" sz="1800" b="0" i="1" baseline="0">
                    <a:solidFill>
                      <a:srgbClr val="000000"/>
                    </a:solidFill>
                  </a:rPr>
                  <a:t> ComScore, BII Estimates</a:t>
                </a:r>
                <a:endParaRPr lang="en-US" sz="1800" b="0" i="1">
                  <a:solidFill>
                    <a:srgbClr val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000629360332629817"/>
              <c:y val="0.982185273159145"/>
            </c:manualLayout>
          </c:layout>
          <c:overlay val="0"/>
        </c:title>
        <c:numFmt formatCode="[$-409]mmm\-yy;@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5853272"/>
        <c:crosses val="autoZero"/>
        <c:auto val="1"/>
        <c:lblOffset val="100"/>
        <c:baseTimeUnit val="months"/>
      </c:dateAx>
      <c:valAx>
        <c:axId val="20958532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r>
                  <a:rPr lang="en-US" sz="2000">
                    <a:solidFill>
                      <a:srgbClr val="000000"/>
                    </a:solidFill>
                  </a:rPr>
                  <a:t>Total User Base Size</a:t>
                </a:r>
              </a:p>
            </c:rich>
          </c:tx>
          <c:layout>
            <c:manualLayout>
              <c:xMode val="edge"/>
              <c:yMode val="edge"/>
              <c:x val="0.01246660730187"/>
              <c:y val="0.37755428582116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69259032"/>
        <c:crosses val="autoZero"/>
        <c:crossBetween val="between"/>
      </c:valAx>
      <c:spPr>
        <a:noFill/>
      </c:spPr>
    </c:plotArea>
    <c:plotVisOnly val="1"/>
    <c:dispBlanksAs val="span"/>
    <c:showDLblsOverMax val="0"/>
  </c:chart>
  <c:spPr>
    <a:solidFill>
      <a:srgbClr val="FFFFFF"/>
    </a:solidFill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000">
                <a:solidFill>
                  <a:srgbClr val="000000"/>
                </a:solidFill>
              </a:defRPr>
            </a:pPr>
            <a:r>
              <a:rPr lang="en-US" sz="4000">
                <a:solidFill>
                  <a:srgbClr val="000000"/>
                </a:solidFill>
              </a:rPr>
              <a:t>WhatsApp </a:t>
            </a:r>
            <a:r>
              <a:rPr lang="en-US" sz="4000" baseline="0">
                <a:solidFill>
                  <a:srgbClr val="000000"/>
                </a:solidFill>
              </a:rPr>
              <a:t>Growth</a:t>
            </a:r>
            <a:endParaRPr lang="en-US" sz="4000">
              <a:solidFill>
                <a:srgbClr val="000000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Whatsapp!$B$2</c:f>
              <c:strCache>
                <c:ptCount val="1"/>
                <c:pt idx="0">
                  <c:v>Messages Sent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dLbls>
            <c:dLbl>
              <c:idx val="4"/>
              <c:layout>
                <c:manualLayout>
                  <c:x val="0.0"/>
                  <c:y val="-0.001187648456057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Whatsapp!$A$3:$A$7</c:f>
              <c:numCache>
                <c:formatCode>mmm\-yy</c:formatCode>
                <c:ptCount val="5"/>
                <c:pt idx="0">
                  <c:v>41365.0</c:v>
                </c:pt>
                <c:pt idx="1">
                  <c:v>41426.0</c:v>
                </c:pt>
                <c:pt idx="2">
                  <c:v>41487.0</c:v>
                </c:pt>
                <c:pt idx="3">
                  <c:v>41609.0</c:v>
                </c:pt>
                <c:pt idx="4">
                  <c:v>41671.0</c:v>
                </c:pt>
              </c:numCache>
            </c:numRef>
          </c:cat>
          <c:val>
            <c:numRef>
              <c:f>Whatsapp!$B$3:$B$7</c:f>
              <c:numCache>
                <c:formatCode>General</c:formatCode>
                <c:ptCount val="5"/>
                <c:pt idx="0">
                  <c:v>8.0</c:v>
                </c:pt>
                <c:pt idx="1">
                  <c:v>10.0</c:v>
                </c:pt>
                <c:pt idx="2">
                  <c:v>11.0</c:v>
                </c:pt>
                <c:pt idx="3">
                  <c:v>16.0</c:v>
                </c:pt>
                <c:pt idx="4">
                  <c:v>19.0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5910216"/>
        <c:axId val="2095916328"/>
      </c:barChart>
      <c:lineChart>
        <c:grouping val="standard"/>
        <c:varyColors val="0"/>
        <c:ser>
          <c:idx val="2"/>
          <c:order val="1"/>
          <c:tx>
            <c:strRef>
              <c:f>Whatsapp!$D$2</c:f>
              <c:strCache>
                <c:ptCount val="1"/>
                <c:pt idx="0">
                  <c:v>Activer Users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"/>
              <c:layout>
                <c:manualLayout>
                  <c:x val="0.234160467252368"/>
                  <c:y val="-0.25178156619971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2"/>
              <c:delete val="1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Whatsapp!$A$3:$A$7</c:f>
              <c:numCache>
                <c:formatCode>mmm\-yy</c:formatCode>
                <c:ptCount val="5"/>
                <c:pt idx="0">
                  <c:v>41365.0</c:v>
                </c:pt>
                <c:pt idx="1">
                  <c:v>41426.0</c:v>
                </c:pt>
                <c:pt idx="2">
                  <c:v>41487.0</c:v>
                </c:pt>
                <c:pt idx="3">
                  <c:v>41609.0</c:v>
                </c:pt>
                <c:pt idx="4">
                  <c:v>41671.0</c:v>
                </c:pt>
              </c:numCache>
            </c:numRef>
          </c:cat>
          <c:val>
            <c:numRef>
              <c:f>Whatsapp!$D$3:$D$7</c:f>
              <c:numCache>
                <c:formatCode>General</c:formatCode>
                <c:ptCount val="5"/>
                <c:pt idx="0">
                  <c:v>200.0</c:v>
                </c:pt>
                <c:pt idx="1">
                  <c:v>250.0</c:v>
                </c:pt>
                <c:pt idx="2">
                  <c:v>300.0</c:v>
                </c:pt>
                <c:pt idx="3">
                  <c:v>400.0</c:v>
                </c:pt>
                <c:pt idx="4">
                  <c:v>450.0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927560"/>
        <c:axId val="2095921992"/>
      </c:lineChart>
      <c:catAx>
        <c:axId val="2095910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 i="1">
                    <a:solidFill>
                      <a:srgbClr val="000000"/>
                    </a:solidFill>
                  </a:defRPr>
                </a:pPr>
                <a:r>
                  <a:rPr lang="en-US" sz="1800" b="0" i="1">
                    <a:solidFill>
                      <a:srgbClr val="000000"/>
                    </a:solidFill>
                  </a:rPr>
                  <a:t>Source: WhatsApp,</a:t>
                </a:r>
                <a:r>
                  <a:rPr lang="en-US" sz="1800" b="0" i="1" baseline="0">
                    <a:solidFill>
                      <a:srgbClr val="000000"/>
                    </a:solidFill>
                  </a:rPr>
                  <a:t> News Reports, BII Estimates</a:t>
                </a:r>
                <a:endParaRPr lang="en-US" sz="1800" b="0" i="1">
                  <a:solidFill>
                    <a:srgbClr val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000627817782794957"/>
              <c:y val="0.981988329249818"/>
            </c:manualLayout>
          </c:layout>
          <c:overlay val="0"/>
        </c:title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5916328"/>
        <c:crosses val="autoZero"/>
        <c:auto val="0"/>
        <c:lblAlgn val="ctr"/>
        <c:lblOffset val="100"/>
        <c:noMultiLvlLbl val="0"/>
      </c:catAx>
      <c:valAx>
        <c:axId val="2095916328"/>
        <c:scaling>
          <c:orientation val="minMax"/>
          <c:max val="25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000" b="1">
                    <a:solidFill>
                      <a:srgbClr val="000000"/>
                    </a:solidFill>
                  </a:defRPr>
                </a:pPr>
                <a:r>
                  <a:rPr lang="en-US" sz="2000" b="1">
                    <a:solidFill>
                      <a:srgbClr val="000000"/>
                    </a:solidFill>
                  </a:rPr>
                  <a:t>Number Of Daily Messages (Billions)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5910216"/>
        <c:crosses val="autoZero"/>
        <c:crossBetween val="between"/>
      </c:valAx>
      <c:valAx>
        <c:axId val="2095921992"/>
        <c:scaling>
          <c:orientation val="minMax"/>
          <c:min val="0.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r>
                  <a:rPr lang="en-US" sz="2000">
                    <a:solidFill>
                      <a:srgbClr val="000000"/>
                    </a:solidFill>
                  </a:rPr>
                  <a:t>Number Of Active Users (Millions)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5927560"/>
        <c:crosses val="max"/>
        <c:crossBetween val="between"/>
      </c:valAx>
      <c:dateAx>
        <c:axId val="209592756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095921992"/>
        <c:crosses val="autoZero"/>
        <c:auto val="1"/>
        <c:lblOffset val="100"/>
        <c:baseTimeUnit val="months"/>
      </c:dateAx>
      <c:spPr>
        <a:noFill/>
      </c:spPr>
    </c:plotArea>
    <c:legend>
      <c:legendPos val="b"/>
      <c:layout>
        <c:manualLayout>
          <c:xMode val="edge"/>
          <c:yMode val="edge"/>
          <c:x val="0.256900526570421"/>
          <c:y val="0.922605906446967"/>
          <c:w val="0.487979820643524"/>
          <c:h val="0.0382016945031515"/>
        </c:manualLayout>
      </c:layout>
      <c:overlay val="0"/>
      <c:txPr>
        <a:bodyPr/>
        <a:lstStyle/>
        <a:p>
          <a:pPr>
            <a:defRPr sz="2000" b="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4000"/>
            </a:pPr>
            <a:r>
              <a:rPr lang="en-US" sz="4000"/>
              <a:t>WhatsApp, WeChat, And LINE Monthly Active Users</a:t>
            </a:r>
          </a:p>
          <a:p>
            <a:pPr>
              <a:defRPr sz="4000"/>
            </a:pPr>
            <a:r>
              <a:rPr lang="en-US" sz="2400" b="0" i="1"/>
              <a:t>Global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users!$A$5</c:f>
              <c:strCache>
                <c:ptCount val="1"/>
                <c:pt idx="0">
                  <c:v>LINE</c:v>
                </c:pt>
              </c:strCache>
            </c:strRef>
          </c:tx>
          <c:marker>
            <c:symbol val="none"/>
          </c:marker>
          <c:cat>
            <c:numRef>
              <c:f>users!$B$4:$P$4</c:f>
              <c:numCache>
                <c:formatCode>mmm\-yy</c:formatCode>
                <c:ptCount val="15"/>
                <c:pt idx="0">
                  <c:v>40452.0</c:v>
                </c:pt>
                <c:pt idx="1">
                  <c:v>40878.0</c:v>
                </c:pt>
                <c:pt idx="2">
                  <c:v>41091.0</c:v>
                </c:pt>
                <c:pt idx="3">
                  <c:v>41183.0</c:v>
                </c:pt>
                <c:pt idx="4">
                  <c:v>41275.0</c:v>
                </c:pt>
                <c:pt idx="5">
                  <c:v>41334.0</c:v>
                </c:pt>
                <c:pt idx="6">
                  <c:v>41365.0</c:v>
                </c:pt>
                <c:pt idx="7">
                  <c:v>41426.0</c:v>
                </c:pt>
                <c:pt idx="8">
                  <c:v>41456.0</c:v>
                </c:pt>
                <c:pt idx="9">
                  <c:v>41487.0</c:v>
                </c:pt>
                <c:pt idx="10">
                  <c:v>41518.0</c:v>
                </c:pt>
                <c:pt idx="11">
                  <c:v>41548.0</c:v>
                </c:pt>
                <c:pt idx="12" formatCode="[$-409]mmm\-yy;@">
                  <c:v>41591.0</c:v>
                </c:pt>
                <c:pt idx="13" formatCode="[$-409]mmm\-yy;@">
                  <c:v>41621.0</c:v>
                </c:pt>
                <c:pt idx="14" formatCode="[$-409]mmm\-yy;@">
                  <c:v>41652.0</c:v>
                </c:pt>
              </c:numCache>
            </c:numRef>
          </c:cat>
          <c:val>
            <c:numRef>
              <c:f>users!$B$5:$P$5</c:f>
              <c:numCache>
                <c:formatCode>General</c:formatCode>
                <c:ptCount val="15"/>
                <c:pt idx="1">
                  <c:v>0.0</c:v>
                </c:pt>
                <c:pt idx="2">
                  <c:v>31.0</c:v>
                </c:pt>
                <c:pt idx="3">
                  <c:v>47.0</c:v>
                </c:pt>
                <c:pt idx="4">
                  <c:v>62.0</c:v>
                </c:pt>
                <c:pt idx="5">
                  <c:v>78.0</c:v>
                </c:pt>
                <c:pt idx="6">
                  <c:v>93.0</c:v>
                </c:pt>
                <c:pt idx="7">
                  <c:v>109.0</c:v>
                </c:pt>
                <c:pt idx="8">
                  <c:v>124.0</c:v>
                </c:pt>
                <c:pt idx="9">
                  <c:v>141.0</c:v>
                </c:pt>
                <c:pt idx="10">
                  <c:v>157.0</c:v>
                </c:pt>
                <c:pt idx="11">
                  <c:v>173.0</c:v>
                </c:pt>
                <c:pt idx="12">
                  <c:v>186.0</c:v>
                </c:pt>
                <c:pt idx="13">
                  <c:v>194.0</c:v>
                </c:pt>
                <c:pt idx="14">
                  <c:v>202.0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users!$A$6</c:f>
              <c:strCache>
                <c:ptCount val="1"/>
                <c:pt idx="0">
                  <c:v>WhatsApp</c:v>
                </c:pt>
              </c:strCache>
            </c:strRef>
          </c:tx>
          <c:marker>
            <c:symbol val="none"/>
          </c:marker>
          <c:cat>
            <c:numRef>
              <c:f>users!$B$4:$P$4</c:f>
              <c:numCache>
                <c:formatCode>mmm\-yy</c:formatCode>
                <c:ptCount val="15"/>
                <c:pt idx="0">
                  <c:v>40452.0</c:v>
                </c:pt>
                <c:pt idx="1">
                  <c:v>40878.0</c:v>
                </c:pt>
                <c:pt idx="2">
                  <c:v>41091.0</c:v>
                </c:pt>
                <c:pt idx="3">
                  <c:v>41183.0</c:v>
                </c:pt>
                <c:pt idx="4">
                  <c:v>41275.0</c:v>
                </c:pt>
                <c:pt idx="5">
                  <c:v>41334.0</c:v>
                </c:pt>
                <c:pt idx="6">
                  <c:v>41365.0</c:v>
                </c:pt>
                <c:pt idx="7">
                  <c:v>41426.0</c:v>
                </c:pt>
                <c:pt idx="8">
                  <c:v>41456.0</c:v>
                </c:pt>
                <c:pt idx="9">
                  <c:v>41487.0</c:v>
                </c:pt>
                <c:pt idx="10">
                  <c:v>41518.0</c:v>
                </c:pt>
                <c:pt idx="11">
                  <c:v>41548.0</c:v>
                </c:pt>
                <c:pt idx="12" formatCode="[$-409]mmm\-yy;@">
                  <c:v>41591.0</c:v>
                </c:pt>
                <c:pt idx="13" formatCode="[$-409]mmm\-yy;@">
                  <c:v>41621.0</c:v>
                </c:pt>
                <c:pt idx="14" formatCode="[$-409]mmm\-yy;@">
                  <c:v>41652.0</c:v>
                </c:pt>
              </c:numCache>
            </c:numRef>
          </c:cat>
          <c:val>
            <c:numRef>
              <c:f>users!$B$6:$P$6</c:f>
              <c:numCache>
                <c:formatCode>General</c:formatCode>
                <c:ptCount val="15"/>
                <c:pt idx="0">
                  <c:v>10.0</c:v>
                </c:pt>
                <c:pt idx="1">
                  <c:v>50.0</c:v>
                </c:pt>
                <c:pt idx="2">
                  <c:v>75.0</c:v>
                </c:pt>
                <c:pt idx="3">
                  <c:v>100.0</c:v>
                </c:pt>
                <c:pt idx="4">
                  <c:v>133.0</c:v>
                </c:pt>
                <c:pt idx="5">
                  <c:v>166.0</c:v>
                </c:pt>
                <c:pt idx="6">
                  <c:v>200.0</c:v>
                </c:pt>
                <c:pt idx="7">
                  <c:v>250.0</c:v>
                </c:pt>
                <c:pt idx="8">
                  <c:v>275.0</c:v>
                </c:pt>
                <c:pt idx="9">
                  <c:v>300.0</c:v>
                </c:pt>
                <c:pt idx="10">
                  <c:v>350.0</c:v>
                </c:pt>
                <c:pt idx="11">
                  <c:v>375.0</c:v>
                </c:pt>
                <c:pt idx="12">
                  <c:v>400.0</c:v>
                </c:pt>
                <c:pt idx="13">
                  <c:v>415.0</c:v>
                </c:pt>
                <c:pt idx="14">
                  <c:v>430.0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users!$A$7</c:f>
              <c:strCache>
                <c:ptCount val="1"/>
                <c:pt idx="0">
                  <c:v>WeChat</c:v>
                </c:pt>
              </c:strCache>
            </c:strRef>
          </c:tx>
          <c:marker>
            <c:symbol val="none"/>
          </c:marker>
          <c:cat>
            <c:numRef>
              <c:f>users!$B$4:$P$4</c:f>
              <c:numCache>
                <c:formatCode>mmm\-yy</c:formatCode>
                <c:ptCount val="15"/>
                <c:pt idx="0">
                  <c:v>40452.0</c:v>
                </c:pt>
                <c:pt idx="1">
                  <c:v>40878.0</c:v>
                </c:pt>
                <c:pt idx="2">
                  <c:v>41091.0</c:v>
                </c:pt>
                <c:pt idx="3">
                  <c:v>41183.0</c:v>
                </c:pt>
                <c:pt idx="4">
                  <c:v>41275.0</c:v>
                </c:pt>
                <c:pt idx="5">
                  <c:v>41334.0</c:v>
                </c:pt>
                <c:pt idx="6">
                  <c:v>41365.0</c:v>
                </c:pt>
                <c:pt idx="7">
                  <c:v>41426.0</c:v>
                </c:pt>
                <c:pt idx="8">
                  <c:v>41456.0</c:v>
                </c:pt>
                <c:pt idx="9">
                  <c:v>41487.0</c:v>
                </c:pt>
                <c:pt idx="10">
                  <c:v>41518.0</c:v>
                </c:pt>
                <c:pt idx="11">
                  <c:v>41548.0</c:v>
                </c:pt>
                <c:pt idx="12" formatCode="[$-409]mmm\-yy;@">
                  <c:v>41591.0</c:v>
                </c:pt>
                <c:pt idx="13" formatCode="[$-409]mmm\-yy;@">
                  <c:v>41621.0</c:v>
                </c:pt>
                <c:pt idx="14" formatCode="[$-409]mmm\-yy;@">
                  <c:v>41652.0</c:v>
                </c:pt>
              </c:numCache>
            </c:numRef>
          </c:cat>
          <c:val>
            <c:numRef>
              <c:f>users!$B$7:$P$7</c:f>
              <c:numCache>
                <c:formatCode>General</c:formatCode>
                <c:ptCount val="15"/>
                <c:pt idx="0">
                  <c:v>0.0</c:v>
                </c:pt>
                <c:pt idx="1">
                  <c:v>50.0</c:v>
                </c:pt>
                <c:pt idx="2">
                  <c:v>85.0</c:v>
                </c:pt>
                <c:pt idx="3">
                  <c:v>121.0</c:v>
                </c:pt>
                <c:pt idx="4">
                  <c:v>158.0</c:v>
                </c:pt>
                <c:pt idx="5">
                  <c:v>194.0</c:v>
                </c:pt>
                <c:pt idx="6">
                  <c:v>215.0</c:v>
                </c:pt>
                <c:pt idx="7">
                  <c:v>236.0</c:v>
                </c:pt>
                <c:pt idx="8">
                  <c:v>248.0</c:v>
                </c:pt>
                <c:pt idx="9">
                  <c:v>260.0</c:v>
                </c:pt>
                <c:pt idx="10">
                  <c:v>272.0</c:v>
                </c:pt>
                <c:pt idx="11">
                  <c:v>285.0</c:v>
                </c:pt>
                <c:pt idx="12">
                  <c:v>297.0</c:v>
                </c:pt>
                <c:pt idx="13">
                  <c:v>310.0</c:v>
                </c:pt>
                <c:pt idx="14">
                  <c:v>324.0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9598504"/>
        <c:axId val="2091254984"/>
      </c:lineChart>
      <c:dateAx>
        <c:axId val="2049598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 b="0" i="1"/>
                  <a:t>Source: BI Intelligence Estimates</a:t>
                </a:r>
              </a:p>
            </c:rich>
          </c:tx>
          <c:layout>
            <c:manualLayout>
              <c:xMode val="edge"/>
              <c:yMode val="edge"/>
              <c:x val="0.00036186816808185"/>
              <c:y val="0.973649851632047"/>
            </c:manualLayout>
          </c:layout>
          <c:overlay val="0"/>
        </c:title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091254984"/>
        <c:crosses val="autoZero"/>
        <c:auto val="1"/>
        <c:lblOffset val="100"/>
        <c:baseTimeUnit val="months"/>
      </c:dateAx>
      <c:valAx>
        <c:axId val="20912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Millions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2049598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4000"/>
              <a:t>OTT </a:t>
            </a:r>
            <a:r>
              <a:rPr lang="en-US" sz="4000" baseline="0"/>
              <a:t>Surpasses SMS</a:t>
            </a:r>
            <a:endParaRPr lang="en-US" sz="40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'OTT v. SMS'!$A$3</c:f>
              <c:strCache>
                <c:ptCount val="1"/>
                <c:pt idx="0">
                  <c:v>SMS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0.0133570792520036"/>
                  <c:y val="0.009501187648455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txPr>
              <a:bodyPr/>
              <a:lstStyle/>
              <a:p>
                <a:pPr>
                  <a:defRPr sz="2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'OTT v. SMS'!$B$2:$D$2</c:f>
              <c:numCache>
                <c:formatCode>General</c:formatCode>
                <c:ptCount val="3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</c:numCache>
            </c:numRef>
          </c:cat>
          <c:val>
            <c:numRef>
              <c:f>'OTT v. SMS'!$B$3:$D$3</c:f>
              <c:numCache>
                <c:formatCode>General</c:formatCode>
                <c:ptCount val="3"/>
                <c:pt idx="0" formatCode="0.0">
                  <c:v>16.16438356164383</c:v>
                </c:pt>
                <c:pt idx="1">
                  <c:v>17.6</c:v>
                </c:pt>
                <c:pt idx="2" formatCode="0.0">
                  <c:v>19.5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'OTT v. SMS'!$A$4</c:f>
              <c:strCache>
                <c:ptCount val="1"/>
                <c:pt idx="0">
                  <c:v>OTT</c:v>
                </c:pt>
              </c:strCache>
            </c:strRef>
          </c:tx>
          <c:marker>
            <c:symbol val="none"/>
          </c:marker>
          <c:dLbls>
            <c:dLbl>
              <c:idx val="1"/>
              <c:delete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41.0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'OTT v. SMS'!$B$2:$D$2</c:f>
              <c:numCache>
                <c:formatCode>General</c:formatCode>
                <c:ptCount val="3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</c:numCache>
            </c:numRef>
          </c:cat>
          <c:val>
            <c:numRef>
              <c:f>'OTT v. SMS'!$B$4:$D$4</c:f>
              <c:numCache>
                <c:formatCode>General</c:formatCode>
                <c:ptCount val="3"/>
                <c:pt idx="0" formatCode="0.0">
                  <c:v>4.383561643835616</c:v>
                </c:pt>
                <c:pt idx="1">
                  <c:v>19.1</c:v>
                </c:pt>
                <c:pt idx="2">
                  <c:v>41.0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407944"/>
        <c:axId val="2091413736"/>
      </c:lineChart>
      <c:catAx>
        <c:axId val="2091407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 b="0" i="1"/>
                  <a:t>Source:</a:t>
                </a:r>
                <a:r>
                  <a:rPr lang="en-US" sz="1800" b="0" i="1" baseline="0"/>
                  <a:t> Informa, April 2013</a:t>
                </a:r>
                <a:endParaRPr lang="en-US" sz="1800" b="0" i="1"/>
              </a:p>
            </c:rich>
          </c:tx>
          <c:layout>
            <c:manualLayout>
              <c:xMode val="edge"/>
              <c:yMode val="edge"/>
              <c:x val="0.0142017655184019"/>
              <c:y val="0.94398357865599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1413736"/>
        <c:crosses val="autoZero"/>
        <c:auto val="1"/>
        <c:lblAlgn val="ctr"/>
        <c:lblOffset val="100"/>
        <c:noMultiLvlLbl val="0"/>
      </c:catAx>
      <c:valAx>
        <c:axId val="20914137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/>
                  <a:t>Billions Of Messages </a:t>
                </a:r>
                <a:r>
                  <a:rPr lang="en-US" sz="2000" baseline="0"/>
                  <a:t>Per Day</a:t>
                </a:r>
                <a:endParaRPr lang="en-US" sz="2000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1407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81002727508572"/>
          <c:y val="0.908354124974283"/>
          <c:w val="0.124464980612953"/>
          <c:h val="0.0382016945031515"/>
        </c:manualLayout>
      </c:layout>
      <c:overlay val="0"/>
      <c:txPr>
        <a:bodyPr/>
        <a:lstStyle/>
        <a:p>
          <a:pPr>
            <a:defRPr sz="2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4000" b="1" i="0"/>
              <a:t>Top Photo Sharing Sites,</a:t>
            </a:r>
            <a:r>
              <a:rPr lang="en-US" sz="4000" b="1" i="0" baseline="0"/>
              <a:t> November </a:t>
            </a:r>
            <a:r>
              <a:rPr lang="en-US" sz="4000" b="1" i="0"/>
              <a:t>2013</a:t>
            </a:r>
          </a:p>
          <a:p>
            <a:pPr>
              <a:defRPr/>
            </a:pPr>
            <a:r>
              <a:rPr lang="en-US" sz="2400" b="0" i="1"/>
              <a:t>Share</a:t>
            </a:r>
            <a:r>
              <a:rPr lang="en-US" sz="2400" b="0" i="1" baseline="0"/>
              <a:t> Of Average Daily Photo Uploads Among Top 4 Sites (809 Million Photos)</a:t>
            </a:r>
            <a:endParaRPr lang="en-US" sz="2400" b="0" i="1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TopPhotoSharingSites!$B$2</c:f>
              <c:strCache>
                <c:ptCount val="1"/>
                <c:pt idx="0">
                  <c:v>2013</c:v>
                </c:pt>
              </c:strCache>
            </c:strRef>
          </c:tx>
          <c:dLbls>
            <c:dLbl>
              <c:idx val="0"/>
              <c:layout>
                <c:manualLayout>
                  <c:x val="-0.119649015835637"/>
                  <c:y val="-0.0358292483469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18463252841058"/>
                  <c:y val="0.03539746255753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0372027094743998"/>
                  <c:y val="0.03584709923129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0322045842400541"/>
                  <c:y val="0.01360564499170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TopPhotoSharingSites!$A$3:$A$6</c:f>
              <c:strCache>
                <c:ptCount val="4"/>
                <c:pt idx="0">
                  <c:v>Facebook</c:v>
                </c:pt>
                <c:pt idx="1">
                  <c:v>Snapchat</c:v>
                </c:pt>
                <c:pt idx="2">
                  <c:v>Instagram</c:v>
                </c:pt>
                <c:pt idx="3">
                  <c:v>Flickr</c:v>
                </c:pt>
              </c:strCache>
            </c:strRef>
          </c:cat>
          <c:val>
            <c:numRef>
              <c:f>TopPhotoSharingSites!$B$3:$B$6</c:f>
              <c:numCache>
                <c:formatCode>0%</c:formatCode>
                <c:ptCount val="4"/>
                <c:pt idx="0">
                  <c:v>0.4329</c:v>
                </c:pt>
                <c:pt idx="1">
                  <c:v>0.4947</c:v>
                </c:pt>
                <c:pt idx="2">
                  <c:v>0.068</c:v>
                </c:pt>
                <c:pt idx="3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61576735891373"/>
          <c:y val="0.143136435545822"/>
          <c:w val="0.844595680594002"/>
          <c:h val="0.734067610882275"/>
        </c:manualLayout>
      </c:layout>
      <c:areaChart>
        <c:grouping val="standard"/>
        <c:varyColors val="0"/>
        <c:ser>
          <c:idx val="0"/>
          <c:order val="0"/>
          <c:spPr>
            <a:solidFill>
              <a:schemeClr val="accent6"/>
            </a:solidFill>
          </c:spPr>
          <c:cat>
            <c:numRef>
              <c:f>'Snapchat (2)'!$B$2:$H$2</c:f>
              <c:numCache>
                <c:formatCode>m/d/yy</c:formatCode>
                <c:ptCount val="7"/>
                <c:pt idx="0">
                  <c:v>41183.0</c:v>
                </c:pt>
                <c:pt idx="1">
                  <c:v>41244.0</c:v>
                </c:pt>
                <c:pt idx="2">
                  <c:v>41306.0</c:v>
                </c:pt>
                <c:pt idx="3">
                  <c:v>41334.0</c:v>
                </c:pt>
                <c:pt idx="4">
                  <c:v>41365.0</c:v>
                </c:pt>
                <c:pt idx="5">
                  <c:v>41426.0</c:v>
                </c:pt>
                <c:pt idx="6">
                  <c:v>41518.0</c:v>
                </c:pt>
              </c:numCache>
            </c:numRef>
          </c:cat>
          <c:val>
            <c:numRef>
              <c:f>'Snapchat (2)'!$B$3:$H$3</c:f>
              <c:numCache>
                <c:formatCode>0</c:formatCode>
                <c:ptCount val="7"/>
                <c:pt idx="0" formatCode="General">
                  <c:v>20.0</c:v>
                </c:pt>
                <c:pt idx="1">
                  <c:v>50.0</c:v>
                </c:pt>
                <c:pt idx="2" formatCode="General">
                  <c:v>60.0</c:v>
                </c:pt>
                <c:pt idx="3" formatCode="General">
                  <c:v>100.0</c:v>
                </c:pt>
                <c:pt idx="4">
                  <c:v>150.0</c:v>
                </c:pt>
                <c:pt idx="5" formatCode="General">
                  <c:v>200.0</c:v>
                </c:pt>
                <c:pt idx="6" formatCode="General">
                  <c:v>350.0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4925" cap="sq">
              <a:solidFill>
                <a:schemeClr val="accent4"/>
              </a:solidFill>
              <a:prstDash val="sysDash"/>
              <a:round/>
              <a:headEnd type="arrow"/>
            </a:ln>
          </c:spPr>
        </c:dropLines>
        <c:axId val="2096027720"/>
        <c:axId val="2096033432"/>
      </c:areaChart>
      <c:dateAx>
        <c:axId val="2096027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0" i="1"/>
                  <a:t>Source:</a:t>
                </a:r>
                <a:r>
                  <a:rPr lang="en-US" sz="1800" b="0" i="1" baseline="0"/>
                  <a:t> Snapchat, TechCrunch September 2013, CNET June 2013, KPCG May 2013 </a:t>
                </a:r>
                <a:endParaRPr lang="en-US" sz="1800" b="0" i="1"/>
              </a:p>
            </c:rich>
          </c:tx>
          <c:layout>
            <c:manualLayout>
              <c:xMode val="edge"/>
              <c:yMode val="edge"/>
              <c:x val="0.000477053749691544"/>
              <c:y val="0.970119400139085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6033432"/>
        <c:crosses val="autoZero"/>
        <c:auto val="1"/>
        <c:lblOffset val="100"/>
        <c:baseTimeUnit val="months"/>
      </c:dateAx>
      <c:valAx>
        <c:axId val="20960334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2000" baseline="0"/>
                  <a:t> Daily Photo Shares In Millions </a:t>
                </a:r>
                <a:endParaRPr lang="en-US" sz="2000"/>
              </a:p>
            </c:rich>
          </c:tx>
          <c:layout>
            <c:manualLayout>
              <c:xMode val="edge"/>
              <c:yMode val="edge"/>
              <c:x val="0.0186232368089657"/>
              <c:y val="0.35747121308385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6027720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4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Global Internet Traffic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2400" b="0" i="1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Desktop Vs. Mobile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GlobalInternetTrafficMobileVDes!$B$1</c:f>
              <c:strCache>
                <c:ptCount val="1"/>
                <c:pt idx="0">
                  <c:v>Desktop</c:v>
                </c:pt>
              </c:strCache>
            </c:strRef>
          </c:tx>
          <c:marker>
            <c:symbol val="none"/>
          </c:marker>
          <c:cat>
            <c:numRef>
              <c:f>GlobalInternetTrafficMobileVDes!$A$2:$A$62</c:f>
              <c:numCache>
                <c:formatCode>mmm\-yy</c:formatCode>
                <c:ptCount val="61"/>
                <c:pt idx="0">
                  <c:v>39783.0</c:v>
                </c:pt>
                <c:pt idx="1">
                  <c:v>39814.0</c:v>
                </c:pt>
                <c:pt idx="2">
                  <c:v>39845.0</c:v>
                </c:pt>
                <c:pt idx="3">
                  <c:v>39873.0</c:v>
                </c:pt>
                <c:pt idx="4">
                  <c:v>39904.0</c:v>
                </c:pt>
                <c:pt idx="5">
                  <c:v>39934.0</c:v>
                </c:pt>
                <c:pt idx="6">
                  <c:v>39965.0</c:v>
                </c:pt>
                <c:pt idx="7">
                  <c:v>39995.0</c:v>
                </c:pt>
                <c:pt idx="8">
                  <c:v>40026.0</c:v>
                </c:pt>
                <c:pt idx="9">
                  <c:v>40057.0</c:v>
                </c:pt>
                <c:pt idx="10">
                  <c:v>40087.0</c:v>
                </c:pt>
                <c:pt idx="11">
                  <c:v>40118.0</c:v>
                </c:pt>
                <c:pt idx="12">
                  <c:v>40148.0</c:v>
                </c:pt>
                <c:pt idx="13">
                  <c:v>40179.0</c:v>
                </c:pt>
                <c:pt idx="14">
                  <c:v>40210.0</c:v>
                </c:pt>
                <c:pt idx="15">
                  <c:v>40238.0</c:v>
                </c:pt>
                <c:pt idx="16">
                  <c:v>40269.0</c:v>
                </c:pt>
                <c:pt idx="17">
                  <c:v>40299.0</c:v>
                </c:pt>
                <c:pt idx="18">
                  <c:v>40330.0</c:v>
                </c:pt>
                <c:pt idx="19">
                  <c:v>40360.0</c:v>
                </c:pt>
                <c:pt idx="20">
                  <c:v>40391.0</c:v>
                </c:pt>
                <c:pt idx="21">
                  <c:v>40422.0</c:v>
                </c:pt>
                <c:pt idx="22">
                  <c:v>40452.0</c:v>
                </c:pt>
                <c:pt idx="23">
                  <c:v>40483.0</c:v>
                </c:pt>
                <c:pt idx="24">
                  <c:v>40513.0</c:v>
                </c:pt>
                <c:pt idx="25">
                  <c:v>40544.0</c:v>
                </c:pt>
                <c:pt idx="26">
                  <c:v>40575.0</c:v>
                </c:pt>
                <c:pt idx="27">
                  <c:v>40603.0</c:v>
                </c:pt>
                <c:pt idx="28">
                  <c:v>40634.0</c:v>
                </c:pt>
                <c:pt idx="29">
                  <c:v>40664.0</c:v>
                </c:pt>
                <c:pt idx="30">
                  <c:v>40695.0</c:v>
                </c:pt>
                <c:pt idx="31">
                  <c:v>40725.0</c:v>
                </c:pt>
                <c:pt idx="32">
                  <c:v>40756.0</c:v>
                </c:pt>
                <c:pt idx="33">
                  <c:v>40787.0</c:v>
                </c:pt>
                <c:pt idx="34">
                  <c:v>40817.0</c:v>
                </c:pt>
                <c:pt idx="35">
                  <c:v>40848.0</c:v>
                </c:pt>
                <c:pt idx="36">
                  <c:v>40878.0</c:v>
                </c:pt>
                <c:pt idx="37">
                  <c:v>40909.0</c:v>
                </c:pt>
                <c:pt idx="38">
                  <c:v>40940.0</c:v>
                </c:pt>
                <c:pt idx="39">
                  <c:v>40969.0</c:v>
                </c:pt>
                <c:pt idx="40">
                  <c:v>41000.0</c:v>
                </c:pt>
                <c:pt idx="41">
                  <c:v>41030.0</c:v>
                </c:pt>
                <c:pt idx="42">
                  <c:v>41061.0</c:v>
                </c:pt>
                <c:pt idx="43">
                  <c:v>41091.0</c:v>
                </c:pt>
                <c:pt idx="44">
                  <c:v>41122.0</c:v>
                </c:pt>
                <c:pt idx="45">
                  <c:v>41153.0</c:v>
                </c:pt>
                <c:pt idx="46">
                  <c:v>41183.0</c:v>
                </c:pt>
                <c:pt idx="47">
                  <c:v>41214.0</c:v>
                </c:pt>
                <c:pt idx="48">
                  <c:v>41244.0</c:v>
                </c:pt>
                <c:pt idx="49">
                  <c:v>41275.0</c:v>
                </c:pt>
                <c:pt idx="50">
                  <c:v>41306.0</c:v>
                </c:pt>
                <c:pt idx="51">
                  <c:v>41334.0</c:v>
                </c:pt>
                <c:pt idx="52">
                  <c:v>41365.0</c:v>
                </c:pt>
                <c:pt idx="53">
                  <c:v>41395.0</c:v>
                </c:pt>
                <c:pt idx="54">
                  <c:v>41426.0</c:v>
                </c:pt>
                <c:pt idx="55">
                  <c:v>41456.0</c:v>
                </c:pt>
                <c:pt idx="56">
                  <c:v>41487.0</c:v>
                </c:pt>
                <c:pt idx="57">
                  <c:v>41518.0</c:v>
                </c:pt>
                <c:pt idx="58">
                  <c:v>41548.0</c:v>
                </c:pt>
                <c:pt idx="59">
                  <c:v>41579.0</c:v>
                </c:pt>
                <c:pt idx="60">
                  <c:v>41609.0</c:v>
                </c:pt>
              </c:numCache>
            </c:numRef>
          </c:cat>
          <c:val>
            <c:numRef>
              <c:f>GlobalInternetTrafficMobileVDes!$B$2:$B$62</c:f>
              <c:numCache>
                <c:formatCode>0.00%</c:formatCode>
                <c:ptCount val="61"/>
                <c:pt idx="0">
                  <c:v>0.994</c:v>
                </c:pt>
                <c:pt idx="1">
                  <c:v>0.9933</c:v>
                </c:pt>
                <c:pt idx="2">
                  <c:v>0.9931</c:v>
                </c:pt>
                <c:pt idx="3">
                  <c:v>0.992</c:v>
                </c:pt>
                <c:pt idx="4">
                  <c:v>0.9914</c:v>
                </c:pt>
                <c:pt idx="5">
                  <c:v>0.9914</c:v>
                </c:pt>
                <c:pt idx="6">
                  <c:v>0.9906</c:v>
                </c:pt>
                <c:pt idx="7">
                  <c:v>0.9895</c:v>
                </c:pt>
                <c:pt idx="8">
                  <c:v>0.9888</c:v>
                </c:pt>
                <c:pt idx="9">
                  <c:v>0.9888</c:v>
                </c:pt>
                <c:pt idx="10">
                  <c:v>0.9885</c:v>
                </c:pt>
                <c:pt idx="11">
                  <c:v>0.9879</c:v>
                </c:pt>
                <c:pt idx="12">
                  <c:v>0.9872</c:v>
                </c:pt>
                <c:pt idx="13">
                  <c:v>0.9844</c:v>
                </c:pt>
                <c:pt idx="14">
                  <c:v>0.9828</c:v>
                </c:pt>
                <c:pt idx="15">
                  <c:v>0.9804</c:v>
                </c:pt>
                <c:pt idx="16">
                  <c:v>0.9782</c:v>
                </c:pt>
                <c:pt idx="17">
                  <c:v>0.9768</c:v>
                </c:pt>
                <c:pt idx="18">
                  <c:v>0.9743</c:v>
                </c:pt>
                <c:pt idx="19">
                  <c:v>0.9714</c:v>
                </c:pt>
                <c:pt idx="20">
                  <c:v>0.9679</c:v>
                </c:pt>
                <c:pt idx="21">
                  <c:v>0.965</c:v>
                </c:pt>
                <c:pt idx="22">
                  <c:v>0.9619</c:v>
                </c:pt>
                <c:pt idx="23">
                  <c:v>0.9598</c:v>
                </c:pt>
                <c:pt idx="24">
                  <c:v>0.959</c:v>
                </c:pt>
                <c:pt idx="25">
                  <c:v>0.957</c:v>
                </c:pt>
                <c:pt idx="26">
                  <c:v>0.9555</c:v>
                </c:pt>
                <c:pt idx="27">
                  <c:v>0.953</c:v>
                </c:pt>
                <c:pt idx="28">
                  <c:v>0.9479</c:v>
                </c:pt>
                <c:pt idx="29">
                  <c:v>0.9425</c:v>
                </c:pt>
                <c:pt idx="30">
                  <c:v>0.9347</c:v>
                </c:pt>
                <c:pt idx="31">
                  <c:v>0.9298</c:v>
                </c:pt>
                <c:pt idx="32">
                  <c:v>0.9288</c:v>
                </c:pt>
                <c:pt idx="33">
                  <c:v>0.9326</c:v>
                </c:pt>
                <c:pt idx="34">
                  <c:v>0.9345</c:v>
                </c:pt>
                <c:pt idx="35">
                  <c:v>0.9305</c:v>
                </c:pt>
                <c:pt idx="36">
                  <c:v>0.9196</c:v>
                </c:pt>
                <c:pt idx="37">
                  <c:v>0.9151</c:v>
                </c:pt>
                <c:pt idx="38">
                  <c:v>0.9147</c:v>
                </c:pt>
                <c:pt idx="39">
                  <c:v>0.9101</c:v>
                </c:pt>
                <c:pt idx="40">
                  <c:v>0.9042</c:v>
                </c:pt>
                <c:pt idx="41">
                  <c:v>0.8989</c:v>
                </c:pt>
                <c:pt idx="42">
                  <c:v>0.896</c:v>
                </c:pt>
                <c:pt idx="43">
                  <c:v>0.8891</c:v>
                </c:pt>
                <c:pt idx="44">
                  <c:v>0.8822</c:v>
                </c:pt>
                <c:pt idx="45">
                  <c:v>0.8797</c:v>
                </c:pt>
                <c:pt idx="46">
                  <c:v>0.877</c:v>
                </c:pt>
                <c:pt idx="47">
                  <c:v>0.8692</c:v>
                </c:pt>
                <c:pt idx="48">
                  <c:v>0.8545</c:v>
                </c:pt>
                <c:pt idx="49">
                  <c:v>0.8587</c:v>
                </c:pt>
                <c:pt idx="50">
                  <c:v>0.8565</c:v>
                </c:pt>
                <c:pt idx="51">
                  <c:v>0.8556</c:v>
                </c:pt>
                <c:pt idx="52">
                  <c:v>0.861</c:v>
                </c:pt>
                <c:pt idx="53">
                  <c:v>0.8538</c:v>
                </c:pt>
                <c:pt idx="54">
                  <c:v>0.8392</c:v>
                </c:pt>
                <c:pt idx="55">
                  <c:v>0.8265</c:v>
                </c:pt>
                <c:pt idx="56" formatCode="0%">
                  <c:v>0.82</c:v>
                </c:pt>
                <c:pt idx="57">
                  <c:v>0.8219</c:v>
                </c:pt>
                <c:pt idx="58">
                  <c:v>0.8033</c:v>
                </c:pt>
                <c:pt idx="59">
                  <c:v>0.7996</c:v>
                </c:pt>
                <c:pt idx="60">
                  <c:v>0.7824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GlobalInternetTrafficMobileVDes!$C$1</c:f>
              <c:strCache>
                <c:ptCount val="1"/>
                <c:pt idx="0">
                  <c:v>Mobile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GlobalInternetTrafficMobileVDes!$A$2:$A$62</c:f>
              <c:numCache>
                <c:formatCode>mmm\-yy</c:formatCode>
                <c:ptCount val="61"/>
                <c:pt idx="0">
                  <c:v>39783.0</c:v>
                </c:pt>
                <c:pt idx="1">
                  <c:v>39814.0</c:v>
                </c:pt>
                <c:pt idx="2">
                  <c:v>39845.0</c:v>
                </c:pt>
                <c:pt idx="3">
                  <c:v>39873.0</c:v>
                </c:pt>
                <c:pt idx="4">
                  <c:v>39904.0</c:v>
                </c:pt>
                <c:pt idx="5">
                  <c:v>39934.0</c:v>
                </c:pt>
                <c:pt idx="6">
                  <c:v>39965.0</c:v>
                </c:pt>
                <c:pt idx="7">
                  <c:v>39995.0</c:v>
                </c:pt>
                <c:pt idx="8">
                  <c:v>40026.0</c:v>
                </c:pt>
                <c:pt idx="9">
                  <c:v>40057.0</c:v>
                </c:pt>
                <c:pt idx="10">
                  <c:v>40087.0</c:v>
                </c:pt>
                <c:pt idx="11">
                  <c:v>40118.0</c:v>
                </c:pt>
                <c:pt idx="12">
                  <c:v>40148.0</c:v>
                </c:pt>
                <c:pt idx="13">
                  <c:v>40179.0</c:v>
                </c:pt>
                <c:pt idx="14">
                  <c:v>40210.0</c:v>
                </c:pt>
                <c:pt idx="15">
                  <c:v>40238.0</c:v>
                </c:pt>
                <c:pt idx="16">
                  <c:v>40269.0</c:v>
                </c:pt>
                <c:pt idx="17">
                  <c:v>40299.0</c:v>
                </c:pt>
                <c:pt idx="18">
                  <c:v>40330.0</c:v>
                </c:pt>
                <c:pt idx="19">
                  <c:v>40360.0</c:v>
                </c:pt>
                <c:pt idx="20">
                  <c:v>40391.0</c:v>
                </c:pt>
                <c:pt idx="21">
                  <c:v>40422.0</c:v>
                </c:pt>
                <c:pt idx="22">
                  <c:v>40452.0</c:v>
                </c:pt>
                <c:pt idx="23">
                  <c:v>40483.0</c:v>
                </c:pt>
                <c:pt idx="24">
                  <c:v>40513.0</c:v>
                </c:pt>
                <c:pt idx="25">
                  <c:v>40544.0</c:v>
                </c:pt>
                <c:pt idx="26">
                  <c:v>40575.0</c:v>
                </c:pt>
                <c:pt idx="27">
                  <c:v>40603.0</c:v>
                </c:pt>
                <c:pt idx="28">
                  <c:v>40634.0</c:v>
                </c:pt>
                <c:pt idx="29">
                  <c:v>40664.0</c:v>
                </c:pt>
                <c:pt idx="30">
                  <c:v>40695.0</c:v>
                </c:pt>
                <c:pt idx="31">
                  <c:v>40725.0</c:v>
                </c:pt>
                <c:pt idx="32">
                  <c:v>40756.0</c:v>
                </c:pt>
                <c:pt idx="33">
                  <c:v>40787.0</c:v>
                </c:pt>
                <c:pt idx="34">
                  <c:v>40817.0</c:v>
                </c:pt>
                <c:pt idx="35">
                  <c:v>40848.0</c:v>
                </c:pt>
                <c:pt idx="36">
                  <c:v>40878.0</c:v>
                </c:pt>
                <c:pt idx="37">
                  <c:v>40909.0</c:v>
                </c:pt>
                <c:pt idx="38">
                  <c:v>40940.0</c:v>
                </c:pt>
                <c:pt idx="39">
                  <c:v>40969.0</c:v>
                </c:pt>
                <c:pt idx="40">
                  <c:v>41000.0</c:v>
                </c:pt>
                <c:pt idx="41">
                  <c:v>41030.0</c:v>
                </c:pt>
                <c:pt idx="42">
                  <c:v>41061.0</c:v>
                </c:pt>
                <c:pt idx="43">
                  <c:v>41091.0</c:v>
                </c:pt>
                <c:pt idx="44">
                  <c:v>41122.0</c:v>
                </c:pt>
                <c:pt idx="45">
                  <c:v>41153.0</c:v>
                </c:pt>
                <c:pt idx="46">
                  <c:v>41183.0</c:v>
                </c:pt>
                <c:pt idx="47">
                  <c:v>41214.0</c:v>
                </c:pt>
                <c:pt idx="48">
                  <c:v>41244.0</c:v>
                </c:pt>
                <c:pt idx="49">
                  <c:v>41275.0</c:v>
                </c:pt>
                <c:pt idx="50">
                  <c:v>41306.0</c:v>
                </c:pt>
                <c:pt idx="51">
                  <c:v>41334.0</c:v>
                </c:pt>
                <c:pt idx="52">
                  <c:v>41365.0</c:v>
                </c:pt>
                <c:pt idx="53">
                  <c:v>41395.0</c:v>
                </c:pt>
                <c:pt idx="54">
                  <c:v>41426.0</c:v>
                </c:pt>
                <c:pt idx="55">
                  <c:v>41456.0</c:v>
                </c:pt>
                <c:pt idx="56">
                  <c:v>41487.0</c:v>
                </c:pt>
                <c:pt idx="57">
                  <c:v>41518.0</c:v>
                </c:pt>
                <c:pt idx="58">
                  <c:v>41548.0</c:v>
                </c:pt>
                <c:pt idx="59">
                  <c:v>41579.0</c:v>
                </c:pt>
                <c:pt idx="60">
                  <c:v>41609.0</c:v>
                </c:pt>
              </c:numCache>
            </c:numRef>
          </c:cat>
          <c:val>
            <c:numRef>
              <c:f>GlobalInternetTrafficMobileVDes!$C$2:$C$62</c:f>
              <c:numCache>
                <c:formatCode>0.00%</c:formatCode>
                <c:ptCount val="61"/>
                <c:pt idx="0">
                  <c:v>0.006</c:v>
                </c:pt>
                <c:pt idx="1">
                  <c:v>0.0067</c:v>
                </c:pt>
                <c:pt idx="2">
                  <c:v>0.0069</c:v>
                </c:pt>
                <c:pt idx="3">
                  <c:v>0.008</c:v>
                </c:pt>
                <c:pt idx="4">
                  <c:v>0.0086</c:v>
                </c:pt>
                <c:pt idx="5">
                  <c:v>0.0086</c:v>
                </c:pt>
                <c:pt idx="6">
                  <c:v>0.0094</c:v>
                </c:pt>
                <c:pt idx="7">
                  <c:v>0.0105</c:v>
                </c:pt>
                <c:pt idx="8">
                  <c:v>0.0112</c:v>
                </c:pt>
                <c:pt idx="9">
                  <c:v>0.0112</c:v>
                </c:pt>
                <c:pt idx="10">
                  <c:v>0.0115</c:v>
                </c:pt>
                <c:pt idx="11">
                  <c:v>0.0121</c:v>
                </c:pt>
                <c:pt idx="12">
                  <c:v>0.0128</c:v>
                </c:pt>
                <c:pt idx="13">
                  <c:v>0.0156</c:v>
                </c:pt>
                <c:pt idx="14">
                  <c:v>0.0172</c:v>
                </c:pt>
                <c:pt idx="15">
                  <c:v>0.0196</c:v>
                </c:pt>
                <c:pt idx="16">
                  <c:v>0.0218</c:v>
                </c:pt>
                <c:pt idx="17">
                  <c:v>0.0232</c:v>
                </c:pt>
                <c:pt idx="18">
                  <c:v>0.0257</c:v>
                </c:pt>
                <c:pt idx="19">
                  <c:v>0.0286</c:v>
                </c:pt>
                <c:pt idx="20">
                  <c:v>0.0321</c:v>
                </c:pt>
                <c:pt idx="21">
                  <c:v>0.035</c:v>
                </c:pt>
                <c:pt idx="22">
                  <c:v>0.0381</c:v>
                </c:pt>
                <c:pt idx="23">
                  <c:v>0.0402</c:v>
                </c:pt>
                <c:pt idx="24">
                  <c:v>0.041</c:v>
                </c:pt>
                <c:pt idx="25">
                  <c:v>0.043</c:v>
                </c:pt>
                <c:pt idx="26">
                  <c:v>0.0445</c:v>
                </c:pt>
                <c:pt idx="27">
                  <c:v>0.047</c:v>
                </c:pt>
                <c:pt idx="28">
                  <c:v>0.0521</c:v>
                </c:pt>
                <c:pt idx="29">
                  <c:v>0.0575</c:v>
                </c:pt>
                <c:pt idx="30">
                  <c:v>0.0653</c:v>
                </c:pt>
                <c:pt idx="31">
                  <c:v>0.0702</c:v>
                </c:pt>
                <c:pt idx="32">
                  <c:v>0.0712</c:v>
                </c:pt>
                <c:pt idx="33">
                  <c:v>0.0674</c:v>
                </c:pt>
                <c:pt idx="34">
                  <c:v>0.0655</c:v>
                </c:pt>
                <c:pt idx="35">
                  <c:v>0.0695</c:v>
                </c:pt>
                <c:pt idx="36">
                  <c:v>0.0804</c:v>
                </c:pt>
                <c:pt idx="37">
                  <c:v>0.0849</c:v>
                </c:pt>
                <c:pt idx="38">
                  <c:v>0.0853</c:v>
                </c:pt>
                <c:pt idx="39">
                  <c:v>0.0899</c:v>
                </c:pt>
                <c:pt idx="40">
                  <c:v>0.0958</c:v>
                </c:pt>
                <c:pt idx="41">
                  <c:v>0.1011</c:v>
                </c:pt>
                <c:pt idx="42">
                  <c:v>0.104</c:v>
                </c:pt>
                <c:pt idx="43">
                  <c:v>0.1109</c:v>
                </c:pt>
                <c:pt idx="44">
                  <c:v>0.1178</c:v>
                </c:pt>
                <c:pt idx="45">
                  <c:v>0.1203</c:v>
                </c:pt>
                <c:pt idx="46">
                  <c:v>0.123</c:v>
                </c:pt>
                <c:pt idx="47">
                  <c:v>0.1308</c:v>
                </c:pt>
                <c:pt idx="48">
                  <c:v>0.1455</c:v>
                </c:pt>
                <c:pt idx="49">
                  <c:v>0.1413</c:v>
                </c:pt>
                <c:pt idx="50">
                  <c:v>0.1435</c:v>
                </c:pt>
                <c:pt idx="51">
                  <c:v>0.1444</c:v>
                </c:pt>
                <c:pt idx="52">
                  <c:v>0.139</c:v>
                </c:pt>
                <c:pt idx="53">
                  <c:v>0.1462</c:v>
                </c:pt>
                <c:pt idx="54">
                  <c:v>0.1608</c:v>
                </c:pt>
                <c:pt idx="55">
                  <c:v>0.1735</c:v>
                </c:pt>
                <c:pt idx="56" formatCode="0%">
                  <c:v>0.18</c:v>
                </c:pt>
                <c:pt idx="57">
                  <c:v>0.1781</c:v>
                </c:pt>
                <c:pt idx="58">
                  <c:v>0.1967</c:v>
                </c:pt>
                <c:pt idx="59">
                  <c:v>0.2004</c:v>
                </c:pt>
                <c:pt idx="60">
                  <c:v>0.2176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060120"/>
        <c:axId val="2097162760"/>
      </c:lineChart>
      <c:dateAx>
        <c:axId val="2095060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 i="1"/>
                </a:pPr>
                <a:r>
                  <a:rPr lang="en-US" sz="1800" b="0" i="1"/>
                  <a:t>Source: StatCounter, September 2013</a:t>
                </a:r>
              </a:p>
            </c:rich>
          </c:tx>
          <c:layout>
            <c:manualLayout>
              <c:xMode val="edge"/>
              <c:yMode val="edge"/>
              <c:x val="0.000352789531201838"/>
              <c:y val="0.970783847980998"/>
            </c:manualLayout>
          </c:layout>
          <c:overlay val="0"/>
        </c:title>
        <c:numFmt formatCode="mmm\-yy" sourceLinked="0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7162760"/>
        <c:crosses val="autoZero"/>
        <c:auto val="1"/>
        <c:lblOffset val="100"/>
        <c:baseTimeUnit val="months"/>
        <c:majorUnit val="4.0"/>
        <c:majorTimeUnit val="months"/>
      </c:dateAx>
      <c:valAx>
        <c:axId val="2097162760"/>
        <c:scaling>
          <c:orientation val="minMax"/>
          <c:max val="1.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50601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3200"/>
            </a:pPr>
            <a:r>
              <a:rPr lang="en-US" sz="3200"/>
              <a:t>Global Mobile Video Traffic Will Continue To Surge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820630887396744"/>
          <c:y val="0.0979673196338262"/>
          <c:w val="0.839409303898362"/>
          <c:h val="0.780718583957493"/>
        </c:manualLayout>
      </c:layout>
      <c:lineChart>
        <c:grouping val="standard"/>
        <c:varyColors val="0"/>
        <c:ser>
          <c:idx val="1"/>
          <c:order val="0"/>
          <c:tx>
            <c:strRef>
              <c:f>'Mobile Video Traffic'!$A$3</c:f>
              <c:strCache>
                <c:ptCount val="1"/>
                <c:pt idx="0">
                  <c:v>Mobile video traffic 2012 forecast</c:v>
                </c:pt>
              </c:strCache>
            </c:strRef>
          </c:tx>
          <c:marker>
            <c:symbol val="none"/>
          </c:marker>
          <c:cat>
            <c:numRef>
              <c:f>'Mobile Video Traffic'!$B$1:$H$1</c:f>
              <c:numCache>
                <c:formatCode>General</c:formatCode>
                <c:ptCount val="7"/>
                <c:pt idx="0">
                  <c:v>2011.0</c:v>
                </c:pt>
                <c:pt idx="1">
                  <c:v>2012.0</c:v>
                </c:pt>
                <c:pt idx="2">
                  <c:v>2013.0</c:v>
                </c:pt>
                <c:pt idx="3">
                  <c:v>2014.0</c:v>
                </c:pt>
                <c:pt idx="4">
                  <c:v>2015.0</c:v>
                </c:pt>
                <c:pt idx="5">
                  <c:v>2016.0</c:v>
                </c:pt>
                <c:pt idx="6">
                  <c:v>2017.0</c:v>
                </c:pt>
              </c:numCache>
            </c:numRef>
          </c:cat>
          <c:val>
            <c:numRef>
              <c:f>'Mobile Video Traffic'!$B$3:$H$3</c:f>
              <c:numCache>
                <c:formatCode>#,##0</c:formatCode>
                <c:ptCount val="7"/>
                <c:pt idx="0" formatCode="General">
                  <c:v>307869.0</c:v>
                </c:pt>
                <c:pt idx="1">
                  <c:v>455216.0</c:v>
                </c:pt>
                <c:pt idx="2">
                  <c:v>858026.0</c:v>
                </c:pt>
                <c:pt idx="3">
                  <c:v>1.603384E6</c:v>
                </c:pt>
                <c:pt idx="4">
                  <c:v>2.834963E6</c:v>
                </c:pt>
                <c:pt idx="5">
                  <c:v>4.71431E6</c:v>
                </c:pt>
                <c:pt idx="6">
                  <c:v>7.418322E6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203944"/>
        <c:axId val="2097209368"/>
      </c:lineChart>
      <c:catAx>
        <c:axId val="2097203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0" i="1"/>
                </a:pPr>
                <a:r>
                  <a:rPr lang="en-US" sz="1600" b="0" i="1"/>
                  <a:t>Source: Cisco, 2013</a:t>
                </a:r>
              </a:p>
            </c:rich>
          </c:tx>
          <c:layout>
            <c:manualLayout>
              <c:xMode val="edge"/>
              <c:yMode val="edge"/>
              <c:x val="0.0101370948263369"/>
              <c:y val="0.96951219512195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2097209368"/>
        <c:crosses val="autoZero"/>
        <c:auto val="1"/>
        <c:lblAlgn val="ctr"/>
        <c:lblOffset val="100"/>
        <c:noMultiLvlLbl val="0"/>
      </c:catAx>
      <c:valAx>
        <c:axId val="20972093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1"/>
                </a:pPr>
                <a:r>
                  <a:rPr lang="en-US" sz="1800" b="1"/>
                  <a:t>Millions of Terabytes Per Month</a:t>
                </a:r>
              </a:p>
            </c:rich>
          </c:tx>
          <c:layout>
            <c:manualLayout>
              <c:xMode val="edge"/>
              <c:yMode val="edge"/>
              <c:x val="0.011288246944592"/>
              <c:y val="0.26182462710453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2097203944"/>
        <c:crosses val="autoZero"/>
        <c:crossBetween val="between"/>
        <c:dispUnits>
          <c:builtInUnit val="millions"/>
        </c:dispUnits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000"/>
            </a:pPr>
            <a:r>
              <a:rPr lang="en-US" sz="4000"/>
              <a:t>Mobile Usage: Pandora, Twitter, Facebook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MobileUsagePandoraFBTwtr!$A$2</c:f>
              <c:strCache>
                <c:ptCount val="1"/>
                <c:pt idx="0">
                  <c:v>Pandora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txPr>
              <a:bodyPr/>
              <a:lstStyle/>
              <a:p>
                <a:pPr>
                  <a:defRPr sz="2000" baseline="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MobileUsagePandoraFBTwtr!$B$1:$G$1</c:f>
              <c:numCache>
                <c:formatCode>General</c:formatCode>
                <c:ptCount val="6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</c:numCache>
            </c:numRef>
          </c:cat>
          <c:val>
            <c:numRef>
              <c:f>MobileUsagePandoraFBTwtr!$B$2:$G$2</c:f>
              <c:numCache>
                <c:formatCode>0%</c:formatCode>
                <c:ptCount val="6"/>
                <c:pt idx="0">
                  <c:v>0.05</c:v>
                </c:pt>
                <c:pt idx="1">
                  <c:v>0.25</c:v>
                </c:pt>
                <c:pt idx="2">
                  <c:v>0.5</c:v>
                </c:pt>
                <c:pt idx="3">
                  <c:v>0.7</c:v>
                </c:pt>
                <c:pt idx="4">
                  <c:v>0.77</c:v>
                </c:pt>
                <c:pt idx="5">
                  <c:v>0.85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MobileUsagePandoraFBTwtr!$A$3</c:f>
              <c:strCache>
                <c:ptCount val="1"/>
                <c:pt idx="0">
                  <c:v>Facebook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txPr>
              <a:bodyPr/>
              <a:lstStyle/>
              <a:p>
                <a:pPr>
                  <a:defRPr sz="20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MobileUsagePandoraFBTwtr!$B$1:$G$1</c:f>
              <c:numCache>
                <c:formatCode>General</c:formatCode>
                <c:ptCount val="6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</c:numCache>
            </c:numRef>
          </c:cat>
          <c:val>
            <c:numRef>
              <c:f>MobileUsagePandoraFBTwtr!$B$3:$G$3</c:f>
              <c:numCache>
                <c:formatCode>0%</c:formatCode>
                <c:ptCount val="6"/>
                <c:pt idx="0">
                  <c:v>0.01</c:v>
                </c:pt>
                <c:pt idx="1">
                  <c:v>0.125</c:v>
                </c:pt>
                <c:pt idx="2">
                  <c:v>0.25</c:v>
                </c:pt>
                <c:pt idx="3">
                  <c:v>0.33</c:v>
                </c:pt>
                <c:pt idx="4">
                  <c:v>0.55</c:v>
                </c:pt>
                <c:pt idx="5">
                  <c:v>0.65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MobileUsagePandoraFBTwtr!$A$4</c:f>
              <c:strCache>
                <c:ptCount val="1"/>
                <c:pt idx="0">
                  <c:v>Twitter</c:v>
                </c:pt>
              </c:strCache>
            </c:strRef>
          </c:tx>
          <c:marker>
            <c:symbol val="none"/>
          </c:marker>
          <c:dLbls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txPr>
              <a:bodyPr/>
              <a:lstStyle/>
              <a:p>
                <a:pPr>
                  <a:defRPr sz="20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MobileUsagePandoraFBTwtr!$B$1:$G$1</c:f>
              <c:numCache>
                <c:formatCode>General</c:formatCode>
                <c:ptCount val="6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</c:numCache>
            </c:numRef>
          </c:cat>
          <c:val>
            <c:numRef>
              <c:f>MobileUsagePandoraFBTwtr!$B$4:$G$4</c:f>
              <c:numCache>
                <c:formatCode>0%</c:formatCode>
                <c:ptCount val="6"/>
                <c:pt idx="1">
                  <c:v>0.26</c:v>
                </c:pt>
                <c:pt idx="2">
                  <c:v>0.47</c:v>
                </c:pt>
                <c:pt idx="3">
                  <c:v>0.55</c:v>
                </c:pt>
                <c:pt idx="4">
                  <c:v>0.6</c:v>
                </c:pt>
                <c:pt idx="5">
                  <c:v>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284088"/>
        <c:axId val="2097287240"/>
      </c:lineChart>
      <c:catAx>
        <c:axId val="2097284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7287240"/>
        <c:crosses val="autoZero"/>
        <c:auto val="1"/>
        <c:lblAlgn val="ctr"/>
        <c:lblOffset val="100"/>
        <c:noMultiLvlLbl val="0"/>
      </c:catAx>
      <c:valAx>
        <c:axId val="20972872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7284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000">
                <a:solidFill>
                  <a:schemeClr val="tx1"/>
                </a:solidFill>
              </a:defRPr>
            </a:pPr>
            <a:r>
              <a:rPr lang="en-US" sz="4000">
                <a:solidFill>
                  <a:schemeClr val="tx1"/>
                </a:solidFill>
              </a:rPr>
              <a:t>Global Smartphone</a:t>
            </a:r>
            <a:r>
              <a:rPr lang="en-US" sz="4000" baseline="0">
                <a:solidFill>
                  <a:schemeClr val="tx1"/>
                </a:solidFill>
              </a:rPr>
              <a:t> Shipments By Manufacturer</a:t>
            </a:r>
            <a:endParaRPr lang="en-US" sz="4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35146803503113"/>
          <c:y val="0.010769269761539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5285714646508"/>
          <c:y val="0.107253352865629"/>
          <c:w val="0.797564511513601"/>
          <c:h val="0.775607251699752"/>
        </c:manualLayout>
      </c:layout>
      <c:areaChart>
        <c:grouping val="stacked"/>
        <c:varyColors val="0"/>
        <c:ser>
          <c:idx val="2"/>
          <c:order val="0"/>
          <c:spPr>
            <a:solidFill>
              <a:schemeClr val="accent2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0.298534153783296"/>
                  <c:y val="-0.0635835399955886"/>
                </c:manualLayout>
              </c:layout>
              <c:tx>
                <c:rich>
                  <a:bodyPr/>
                  <a:lstStyle/>
                  <a:p>
                    <a:r>
                      <a:rPr lang="en-US" sz="1800">
                        <a:solidFill>
                          <a:srgbClr val="000000"/>
                        </a:solidFill>
                      </a:rPr>
                      <a:t>Samsung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8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'Shipments (2)'!$F$2:$Y$2</c:f>
              <c:strCache>
                <c:ptCount val="20"/>
                <c:pt idx="0">
                  <c:v>Q1 2009</c:v>
                </c:pt>
                <c:pt idx="1">
                  <c:v>Q2 2009</c:v>
                </c:pt>
                <c:pt idx="2">
                  <c:v>Q3 2009</c:v>
                </c:pt>
                <c:pt idx="3">
                  <c:v>Q4 2009</c:v>
                </c:pt>
                <c:pt idx="4">
                  <c:v>Q1 2010</c:v>
                </c:pt>
                <c:pt idx="5">
                  <c:v>Q2 2010</c:v>
                </c:pt>
                <c:pt idx="6">
                  <c:v>Q3 2010</c:v>
                </c:pt>
                <c:pt idx="7">
                  <c:v>Q4 2010</c:v>
                </c:pt>
                <c:pt idx="8">
                  <c:v>Q1 2011</c:v>
                </c:pt>
                <c:pt idx="9">
                  <c:v>Q2 2011</c:v>
                </c:pt>
                <c:pt idx="10">
                  <c:v>Q3 2011</c:v>
                </c:pt>
                <c:pt idx="11">
                  <c:v>Q4 2011</c:v>
                </c:pt>
                <c:pt idx="12">
                  <c:v>Q1 2012</c:v>
                </c:pt>
                <c:pt idx="13">
                  <c:v>Q2 2012</c:v>
                </c:pt>
                <c:pt idx="14">
                  <c:v>Q3 2012</c:v>
                </c:pt>
                <c:pt idx="15">
                  <c:v>Q4 2012</c:v>
                </c:pt>
                <c:pt idx="16">
                  <c:v>Q1 2013</c:v>
                </c:pt>
                <c:pt idx="17">
                  <c:v>Q2 2013</c:v>
                </c:pt>
                <c:pt idx="18">
                  <c:v>Q3 2013</c:v>
                </c:pt>
                <c:pt idx="19">
                  <c:v>Q4 2013</c:v>
                </c:pt>
              </c:strCache>
            </c:strRef>
          </c:cat>
          <c:val>
            <c:numRef>
              <c:f>'Shipments (2)'!$F$5:$Y$5</c:f>
              <c:numCache>
                <c:formatCode>#,##0</c:formatCode>
                <c:ptCount val="20"/>
                <c:pt idx="0">
                  <c:v>1.026E6</c:v>
                </c:pt>
                <c:pt idx="1">
                  <c:v>1.254E6</c:v>
                </c:pt>
                <c:pt idx="2">
                  <c:v>1.425E6</c:v>
                </c:pt>
                <c:pt idx="3">
                  <c:v>1.995E6</c:v>
                </c:pt>
                <c:pt idx="4">
                  <c:v>2.4E6</c:v>
                </c:pt>
                <c:pt idx="5">
                  <c:v>3.0E6</c:v>
                </c:pt>
                <c:pt idx="6">
                  <c:v>7.5E6</c:v>
                </c:pt>
                <c:pt idx="7">
                  <c:v>1.07E7</c:v>
                </c:pt>
                <c:pt idx="8">
                  <c:v>1.26E7</c:v>
                </c:pt>
                <c:pt idx="9">
                  <c:v>1.92E7</c:v>
                </c:pt>
                <c:pt idx="10">
                  <c:v>2.78E7</c:v>
                </c:pt>
                <c:pt idx="11">
                  <c:v>3.65E7</c:v>
                </c:pt>
                <c:pt idx="12">
                  <c:v>4.22E7</c:v>
                </c:pt>
                <c:pt idx="13">
                  <c:v>5.02E7</c:v>
                </c:pt>
                <c:pt idx="14">
                  <c:v>5.69E7</c:v>
                </c:pt>
                <c:pt idx="15">
                  <c:v>6.35E7</c:v>
                </c:pt>
                <c:pt idx="16">
                  <c:v>6.97E7</c:v>
                </c:pt>
                <c:pt idx="17">
                  <c:v>7.42E7</c:v>
                </c:pt>
                <c:pt idx="18">
                  <c:v>8.22E7</c:v>
                </c:pt>
                <c:pt idx="19">
                  <c:v>8.0E7</c:v>
                </c:pt>
              </c:numCache>
            </c:numRef>
          </c:val>
        </c:ser>
        <c:ser>
          <c:idx val="0"/>
          <c:order val="1"/>
          <c:spPr>
            <a:solidFill>
              <a:schemeClr val="accent3"/>
            </a:solidFill>
          </c:spPr>
          <c:dLbls>
            <c:dLbl>
              <c:idx val="0"/>
              <c:layout>
                <c:manualLayout>
                  <c:x val="0.251057786665237"/>
                  <c:y val="-0.128683728594427"/>
                </c:manualLayout>
              </c:layout>
              <c:tx>
                <c:rich>
                  <a:bodyPr/>
                  <a:lstStyle/>
                  <a:p>
                    <a:r>
                      <a:rPr lang="en-US" sz="1800">
                        <a:solidFill>
                          <a:srgbClr val="000000"/>
                        </a:solidFill>
                      </a:rPr>
                      <a:t>Apple</a:t>
                    </a:r>
                    <a:endParaRPr lang="en-US" sz="1400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8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'Shipments (2)'!$F$2:$Y$2</c:f>
              <c:strCache>
                <c:ptCount val="20"/>
                <c:pt idx="0">
                  <c:v>Q1 2009</c:v>
                </c:pt>
                <c:pt idx="1">
                  <c:v>Q2 2009</c:v>
                </c:pt>
                <c:pt idx="2">
                  <c:v>Q3 2009</c:v>
                </c:pt>
                <c:pt idx="3">
                  <c:v>Q4 2009</c:v>
                </c:pt>
                <c:pt idx="4">
                  <c:v>Q1 2010</c:v>
                </c:pt>
                <c:pt idx="5">
                  <c:v>Q2 2010</c:v>
                </c:pt>
                <c:pt idx="6">
                  <c:v>Q3 2010</c:v>
                </c:pt>
                <c:pt idx="7">
                  <c:v>Q4 2010</c:v>
                </c:pt>
                <c:pt idx="8">
                  <c:v>Q1 2011</c:v>
                </c:pt>
                <c:pt idx="9">
                  <c:v>Q2 2011</c:v>
                </c:pt>
                <c:pt idx="10">
                  <c:v>Q3 2011</c:v>
                </c:pt>
                <c:pt idx="11">
                  <c:v>Q4 2011</c:v>
                </c:pt>
                <c:pt idx="12">
                  <c:v>Q1 2012</c:v>
                </c:pt>
                <c:pt idx="13">
                  <c:v>Q2 2012</c:v>
                </c:pt>
                <c:pt idx="14">
                  <c:v>Q3 2012</c:v>
                </c:pt>
                <c:pt idx="15">
                  <c:v>Q4 2012</c:v>
                </c:pt>
                <c:pt idx="16">
                  <c:v>Q1 2013</c:v>
                </c:pt>
                <c:pt idx="17">
                  <c:v>Q2 2013</c:v>
                </c:pt>
                <c:pt idx="18">
                  <c:v>Q3 2013</c:v>
                </c:pt>
                <c:pt idx="19">
                  <c:v>Q4 2013</c:v>
                </c:pt>
              </c:strCache>
            </c:strRef>
          </c:cat>
          <c:val>
            <c:numRef>
              <c:f>'Shipments (2)'!$F$3:$Y$3</c:f>
              <c:numCache>
                <c:formatCode>#,##0</c:formatCode>
                <c:ptCount val="20"/>
                <c:pt idx="0">
                  <c:v>3.8481E6</c:v>
                </c:pt>
                <c:pt idx="1">
                  <c:v>5.325E6</c:v>
                </c:pt>
                <c:pt idx="2">
                  <c:v>7.4E6</c:v>
                </c:pt>
                <c:pt idx="3">
                  <c:v>8.7E6</c:v>
                </c:pt>
                <c:pt idx="4">
                  <c:v>8.75E6</c:v>
                </c:pt>
                <c:pt idx="5">
                  <c:v>8.4E6</c:v>
                </c:pt>
                <c:pt idx="6">
                  <c:v>1.41E7</c:v>
                </c:pt>
                <c:pt idx="7">
                  <c:v>1.624E7</c:v>
                </c:pt>
                <c:pt idx="8">
                  <c:v>1.865E7</c:v>
                </c:pt>
                <c:pt idx="9">
                  <c:v>2.034E7</c:v>
                </c:pt>
                <c:pt idx="10">
                  <c:v>1.72953E7</c:v>
                </c:pt>
                <c:pt idx="11">
                  <c:v>3.704E7</c:v>
                </c:pt>
                <c:pt idx="12">
                  <c:v>3.5064E7</c:v>
                </c:pt>
                <c:pt idx="13">
                  <c:v>2.6E7</c:v>
                </c:pt>
                <c:pt idx="14">
                  <c:v>2.69E7</c:v>
                </c:pt>
                <c:pt idx="15">
                  <c:v>4.78E7</c:v>
                </c:pt>
                <c:pt idx="16">
                  <c:v>3.74E7</c:v>
                </c:pt>
                <c:pt idx="17">
                  <c:v>3.12E7</c:v>
                </c:pt>
                <c:pt idx="18">
                  <c:v>3.38E7</c:v>
                </c:pt>
                <c:pt idx="19">
                  <c:v>5.1E7</c:v>
                </c:pt>
              </c:numCache>
            </c:numRef>
          </c:val>
        </c:ser>
        <c:ser>
          <c:idx val="8"/>
          <c:order val="2"/>
          <c:spPr>
            <a:solidFill>
              <a:schemeClr val="accent6">
                <a:lumMod val="50000"/>
              </a:schemeClr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0.0362528703635368"/>
                  <c:y val="-0.286370523368609"/>
                </c:manualLayout>
              </c:layout>
              <c:tx>
                <c:rich>
                  <a:bodyPr/>
                  <a:lstStyle/>
                  <a:p>
                    <a:r>
                      <a:rPr lang="en-US" sz="1800">
                        <a:solidFill>
                          <a:srgbClr val="000000"/>
                        </a:solidFill>
                      </a:rPr>
                      <a:t>Huawei</a:t>
                    </a:r>
                    <a:endParaRPr lang="en-US">
                      <a:solidFill>
                        <a:srgbClr val="FFFFFF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8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'Shipments (2)'!$F$2:$Y$2</c:f>
              <c:strCache>
                <c:ptCount val="20"/>
                <c:pt idx="0">
                  <c:v>Q1 2009</c:v>
                </c:pt>
                <c:pt idx="1">
                  <c:v>Q2 2009</c:v>
                </c:pt>
                <c:pt idx="2">
                  <c:v>Q3 2009</c:v>
                </c:pt>
                <c:pt idx="3">
                  <c:v>Q4 2009</c:v>
                </c:pt>
                <c:pt idx="4">
                  <c:v>Q1 2010</c:v>
                </c:pt>
                <c:pt idx="5">
                  <c:v>Q2 2010</c:v>
                </c:pt>
                <c:pt idx="6">
                  <c:v>Q3 2010</c:v>
                </c:pt>
                <c:pt idx="7">
                  <c:v>Q4 2010</c:v>
                </c:pt>
                <c:pt idx="8">
                  <c:v>Q1 2011</c:v>
                </c:pt>
                <c:pt idx="9">
                  <c:v>Q2 2011</c:v>
                </c:pt>
                <c:pt idx="10">
                  <c:v>Q3 2011</c:v>
                </c:pt>
                <c:pt idx="11">
                  <c:v>Q4 2011</c:v>
                </c:pt>
                <c:pt idx="12">
                  <c:v>Q1 2012</c:v>
                </c:pt>
                <c:pt idx="13">
                  <c:v>Q2 2012</c:v>
                </c:pt>
                <c:pt idx="14">
                  <c:v>Q3 2012</c:v>
                </c:pt>
                <c:pt idx="15">
                  <c:v>Q4 2012</c:v>
                </c:pt>
                <c:pt idx="16">
                  <c:v>Q1 2013</c:v>
                </c:pt>
                <c:pt idx="17">
                  <c:v>Q2 2013</c:v>
                </c:pt>
                <c:pt idx="18">
                  <c:v>Q3 2013</c:v>
                </c:pt>
                <c:pt idx="19">
                  <c:v>Q4 2013</c:v>
                </c:pt>
              </c:strCache>
            </c:strRef>
          </c:cat>
          <c:val>
            <c:numRef>
              <c:f>'Shipments (2)'!$F$11:$Y$11</c:f>
              <c:numCache>
                <c:formatCode>_(* #,##0_);_(* \(#,##0\);_(* "-"??_);_(@_)</c:formatCode>
                <c:ptCount val="20"/>
                <c:pt idx="8">
                  <c:v>4.0E6</c:v>
                </c:pt>
                <c:pt idx="9">
                  <c:v>4.1E6</c:v>
                </c:pt>
                <c:pt idx="10">
                  <c:v>4.4E6</c:v>
                </c:pt>
                <c:pt idx="11">
                  <c:v>7.5E6</c:v>
                </c:pt>
                <c:pt idx="12">
                  <c:v>7.0E6</c:v>
                </c:pt>
                <c:pt idx="13">
                  <c:v>6.6E6</c:v>
                </c:pt>
                <c:pt idx="14" formatCode="#,##0">
                  <c:v>7.6E6</c:v>
                </c:pt>
                <c:pt idx="15" formatCode="#,##0">
                  <c:v>1.03E7</c:v>
                </c:pt>
                <c:pt idx="16" formatCode="#,##0">
                  <c:v>1.03E7</c:v>
                </c:pt>
                <c:pt idx="17">
                  <c:v>1.11E7</c:v>
                </c:pt>
                <c:pt idx="18">
                  <c:v>1.26E7</c:v>
                </c:pt>
                <c:pt idx="19">
                  <c:v>1.64E7</c:v>
                </c:pt>
              </c:numCache>
            </c:numRef>
          </c:val>
        </c:ser>
        <c:ser>
          <c:idx val="6"/>
          <c:order val="3"/>
          <c:spPr>
            <a:solidFill>
              <a:schemeClr val="tx2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0.0887176999040008"/>
                  <c:y val="-0.270009524632373"/>
                </c:manualLayout>
              </c:layout>
              <c:tx>
                <c:rich>
                  <a:bodyPr/>
                  <a:lstStyle/>
                  <a:p>
                    <a:r>
                      <a:rPr lang="en-US" sz="1800">
                        <a:solidFill>
                          <a:srgbClr val="000000"/>
                        </a:solidFill>
                      </a:rPr>
                      <a:t>LG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8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'Shipments (2)'!$F$2:$Y$2</c:f>
              <c:strCache>
                <c:ptCount val="20"/>
                <c:pt idx="0">
                  <c:v>Q1 2009</c:v>
                </c:pt>
                <c:pt idx="1">
                  <c:v>Q2 2009</c:v>
                </c:pt>
                <c:pt idx="2">
                  <c:v>Q3 2009</c:v>
                </c:pt>
                <c:pt idx="3">
                  <c:v>Q4 2009</c:v>
                </c:pt>
                <c:pt idx="4">
                  <c:v>Q1 2010</c:v>
                </c:pt>
                <c:pt idx="5">
                  <c:v>Q2 2010</c:v>
                </c:pt>
                <c:pt idx="6">
                  <c:v>Q3 2010</c:v>
                </c:pt>
                <c:pt idx="7">
                  <c:v>Q4 2010</c:v>
                </c:pt>
                <c:pt idx="8">
                  <c:v>Q1 2011</c:v>
                </c:pt>
                <c:pt idx="9">
                  <c:v>Q2 2011</c:v>
                </c:pt>
                <c:pt idx="10">
                  <c:v>Q3 2011</c:v>
                </c:pt>
                <c:pt idx="11">
                  <c:v>Q4 2011</c:v>
                </c:pt>
                <c:pt idx="12">
                  <c:v>Q1 2012</c:v>
                </c:pt>
                <c:pt idx="13">
                  <c:v>Q2 2012</c:v>
                </c:pt>
                <c:pt idx="14">
                  <c:v>Q3 2012</c:v>
                </c:pt>
                <c:pt idx="15">
                  <c:v>Q4 2012</c:v>
                </c:pt>
                <c:pt idx="16">
                  <c:v>Q1 2013</c:v>
                </c:pt>
                <c:pt idx="17">
                  <c:v>Q2 2013</c:v>
                </c:pt>
                <c:pt idx="18">
                  <c:v>Q3 2013</c:v>
                </c:pt>
                <c:pt idx="19">
                  <c:v>Q4 2013</c:v>
                </c:pt>
              </c:strCache>
            </c:strRef>
          </c:cat>
          <c:val>
            <c:numRef>
              <c:f>'Shipments (2)'!$F$9:$Y$9</c:f>
              <c:numCache>
                <c:formatCode>_(* #,##0_);_(* \(#,##0\);_(* "-"??_);_(@_)</c:formatCode>
                <c:ptCount val="20"/>
                <c:pt idx="7">
                  <c:v>4.7E6</c:v>
                </c:pt>
                <c:pt idx="8">
                  <c:v>4.7E6</c:v>
                </c:pt>
                <c:pt idx="9">
                  <c:v>5.4E6</c:v>
                </c:pt>
                <c:pt idx="10">
                  <c:v>5.9E6</c:v>
                </c:pt>
                <c:pt idx="11">
                  <c:v>7.3E6</c:v>
                </c:pt>
                <c:pt idx="12">
                  <c:v>5.5E6</c:v>
                </c:pt>
                <c:pt idx="13">
                  <c:v>5.3E6</c:v>
                </c:pt>
                <c:pt idx="14" formatCode="#,##0">
                  <c:v>7.0E6</c:v>
                </c:pt>
                <c:pt idx="15" formatCode="#,##0">
                  <c:v>8.6E6</c:v>
                </c:pt>
                <c:pt idx="16" formatCode="#,##0">
                  <c:v>1.03E7</c:v>
                </c:pt>
                <c:pt idx="17">
                  <c:v>1.21E7</c:v>
                </c:pt>
                <c:pt idx="18">
                  <c:v>1.2E7</c:v>
                </c:pt>
                <c:pt idx="19">
                  <c:v>1.32E7</c:v>
                </c:pt>
              </c:numCache>
            </c:numRef>
          </c:val>
        </c:ser>
        <c:ser>
          <c:idx val="10"/>
          <c:order val="4"/>
          <c:spPr>
            <a:solidFill>
              <a:schemeClr val="tx2">
                <a:lumMod val="40000"/>
                <a:lumOff val="60000"/>
              </a:schemeClr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0.101167493973043"/>
                  <c:y val="-0.30613528972868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000000"/>
                        </a:solidFill>
                      </a:rPr>
                      <a:t>Lenovo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8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'Shipments (2)'!$F$2:$Y$2</c:f>
              <c:strCache>
                <c:ptCount val="20"/>
                <c:pt idx="0">
                  <c:v>Q1 2009</c:v>
                </c:pt>
                <c:pt idx="1">
                  <c:v>Q2 2009</c:v>
                </c:pt>
                <c:pt idx="2">
                  <c:v>Q3 2009</c:v>
                </c:pt>
                <c:pt idx="3">
                  <c:v>Q4 2009</c:v>
                </c:pt>
                <c:pt idx="4">
                  <c:v>Q1 2010</c:v>
                </c:pt>
                <c:pt idx="5">
                  <c:v>Q2 2010</c:v>
                </c:pt>
                <c:pt idx="6">
                  <c:v>Q3 2010</c:v>
                </c:pt>
                <c:pt idx="7">
                  <c:v>Q4 2010</c:v>
                </c:pt>
                <c:pt idx="8">
                  <c:v>Q1 2011</c:v>
                </c:pt>
                <c:pt idx="9">
                  <c:v>Q2 2011</c:v>
                </c:pt>
                <c:pt idx="10">
                  <c:v>Q3 2011</c:v>
                </c:pt>
                <c:pt idx="11">
                  <c:v>Q4 2011</c:v>
                </c:pt>
                <c:pt idx="12">
                  <c:v>Q1 2012</c:v>
                </c:pt>
                <c:pt idx="13">
                  <c:v>Q2 2012</c:v>
                </c:pt>
                <c:pt idx="14">
                  <c:v>Q3 2012</c:v>
                </c:pt>
                <c:pt idx="15">
                  <c:v>Q4 2012</c:v>
                </c:pt>
                <c:pt idx="16">
                  <c:v>Q1 2013</c:v>
                </c:pt>
                <c:pt idx="17">
                  <c:v>Q2 2013</c:v>
                </c:pt>
                <c:pt idx="18">
                  <c:v>Q3 2013</c:v>
                </c:pt>
                <c:pt idx="19">
                  <c:v>Q4 2013</c:v>
                </c:pt>
              </c:strCache>
            </c:strRef>
          </c:cat>
          <c:val>
            <c:numRef>
              <c:f>'Shipments (2)'!$F$13:$Y$13</c:f>
              <c:numCache>
                <c:formatCode>#,##0</c:formatCode>
                <c:ptCount val="20"/>
                <c:pt idx="8">
                  <c:v>105624.2650909091</c:v>
                </c:pt>
                <c:pt idx="9">
                  <c:v>152754.4193712717</c:v>
                </c:pt>
                <c:pt idx="10">
                  <c:v>406300.0</c:v>
                </c:pt>
                <c:pt idx="11">
                  <c:v>2.4591897E6</c:v>
                </c:pt>
                <c:pt idx="12">
                  <c:v>2.98640035227273E6</c:v>
                </c:pt>
                <c:pt idx="13">
                  <c:v>4.647467664E6</c:v>
                </c:pt>
                <c:pt idx="14">
                  <c:v>6.4E6</c:v>
                </c:pt>
                <c:pt idx="15">
                  <c:v>9.0E6</c:v>
                </c:pt>
                <c:pt idx="16">
                  <c:v>7.6E6</c:v>
                </c:pt>
                <c:pt idx="17">
                  <c:v>1.13E7</c:v>
                </c:pt>
                <c:pt idx="18">
                  <c:v>1.155E7</c:v>
                </c:pt>
                <c:pt idx="19">
                  <c:v>1.39E7</c:v>
                </c:pt>
              </c:numCache>
            </c:numRef>
          </c:val>
        </c:ser>
        <c:ser>
          <c:idx val="7"/>
          <c:order val="5"/>
          <c:spPr>
            <a:ln w="25400">
              <a:noFill/>
            </a:ln>
          </c:spPr>
          <c:dLbls>
            <c:dLbl>
              <c:idx val="0"/>
              <c:layout>
                <c:manualLayout>
                  <c:x val="0.132451194349042"/>
                  <c:y val="-0.325428205669121"/>
                </c:manualLayout>
              </c:layout>
              <c:tx>
                <c:rich>
                  <a:bodyPr/>
                  <a:lstStyle/>
                  <a:p>
                    <a:r>
                      <a:rPr lang="en-US" sz="1800">
                        <a:solidFill>
                          <a:srgbClr val="000000"/>
                        </a:solidFill>
                      </a:rPr>
                      <a:t>Sony Ericsson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8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'Shipments (2)'!$F$2:$Y$2</c:f>
              <c:strCache>
                <c:ptCount val="20"/>
                <c:pt idx="0">
                  <c:v>Q1 2009</c:v>
                </c:pt>
                <c:pt idx="1">
                  <c:v>Q2 2009</c:v>
                </c:pt>
                <c:pt idx="2">
                  <c:v>Q3 2009</c:v>
                </c:pt>
                <c:pt idx="3">
                  <c:v>Q4 2009</c:v>
                </c:pt>
                <c:pt idx="4">
                  <c:v>Q1 2010</c:v>
                </c:pt>
                <c:pt idx="5">
                  <c:v>Q2 2010</c:v>
                </c:pt>
                <c:pt idx="6">
                  <c:v>Q3 2010</c:v>
                </c:pt>
                <c:pt idx="7">
                  <c:v>Q4 2010</c:v>
                </c:pt>
                <c:pt idx="8">
                  <c:v>Q1 2011</c:v>
                </c:pt>
                <c:pt idx="9">
                  <c:v>Q2 2011</c:v>
                </c:pt>
                <c:pt idx="10">
                  <c:v>Q3 2011</c:v>
                </c:pt>
                <c:pt idx="11">
                  <c:v>Q4 2011</c:v>
                </c:pt>
                <c:pt idx="12">
                  <c:v>Q1 2012</c:v>
                </c:pt>
                <c:pt idx="13">
                  <c:v>Q2 2012</c:v>
                </c:pt>
                <c:pt idx="14">
                  <c:v>Q3 2012</c:v>
                </c:pt>
                <c:pt idx="15">
                  <c:v>Q4 2012</c:v>
                </c:pt>
                <c:pt idx="16">
                  <c:v>Q1 2013</c:v>
                </c:pt>
                <c:pt idx="17">
                  <c:v>Q2 2013</c:v>
                </c:pt>
                <c:pt idx="18">
                  <c:v>Q3 2013</c:v>
                </c:pt>
                <c:pt idx="19">
                  <c:v>Q4 2013</c:v>
                </c:pt>
              </c:strCache>
            </c:strRef>
          </c:cat>
          <c:val>
            <c:numRef>
              <c:f>'Shipments (2)'!$F$10:$Y$10</c:f>
              <c:numCache>
                <c:formatCode>_(* #,##0_);_(* \(#,##0\);_(* "-"??_);_(@_)</c:formatCode>
                <c:ptCount val="20"/>
                <c:pt idx="6">
                  <c:v>1.6E6</c:v>
                </c:pt>
                <c:pt idx="7">
                  <c:v>5.2E6</c:v>
                </c:pt>
                <c:pt idx="8">
                  <c:v>4.9E6</c:v>
                </c:pt>
                <c:pt idx="9">
                  <c:v>5.3E6</c:v>
                </c:pt>
                <c:pt idx="10">
                  <c:v>7.6E6</c:v>
                </c:pt>
                <c:pt idx="11">
                  <c:v>7.1E6</c:v>
                </c:pt>
                <c:pt idx="12">
                  <c:v>7.3E6</c:v>
                </c:pt>
                <c:pt idx="13">
                  <c:v>7.4E6</c:v>
                </c:pt>
                <c:pt idx="14" formatCode="#,##0">
                  <c:v>8.9E6</c:v>
                </c:pt>
                <c:pt idx="15" formatCode="#,##0">
                  <c:v>9.3E6</c:v>
                </c:pt>
                <c:pt idx="16" formatCode="#,##0">
                  <c:v>8.9E6</c:v>
                </c:pt>
                <c:pt idx="17">
                  <c:v>1.02E7</c:v>
                </c:pt>
                <c:pt idx="18">
                  <c:v>1.0E7</c:v>
                </c:pt>
                <c:pt idx="19">
                  <c:v>1.2E7</c:v>
                </c:pt>
              </c:numCache>
            </c:numRef>
          </c:val>
        </c:ser>
        <c:ser>
          <c:idx val="9"/>
          <c:order val="6"/>
          <c:spPr>
            <a:solidFill>
              <a:schemeClr val="accent3">
                <a:lumMod val="50000"/>
              </a:schemeClr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0.157220155164494"/>
                  <c:y val="-0.367149751171452"/>
                </c:manualLayout>
              </c:layout>
              <c:tx>
                <c:rich>
                  <a:bodyPr/>
                  <a:lstStyle/>
                  <a:p>
                    <a:r>
                      <a:rPr lang="en-US" sz="1800">
                        <a:solidFill>
                          <a:srgbClr val="000000"/>
                        </a:solidFill>
                      </a:rPr>
                      <a:t>ZTE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8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'Shipments (2)'!$F$2:$Y$2</c:f>
              <c:strCache>
                <c:ptCount val="20"/>
                <c:pt idx="0">
                  <c:v>Q1 2009</c:v>
                </c:pt>
                <c:pt idx="1">
                  <c:v>Q2 2009</c:v>
                </c:pt>
                <c:pt idx="2">
                  <c:v>Q3 2009</c:v>
                </c:pt>
                <c:pt idx="3">
                  <c:v>Q4 2009</c:v>
                </c:pt>
                <c:pt idx="4">
                  <c:v>Q1 2010</c:v>
                </c:pt>
                <c:pt idx="5">
                  <c:v>Q2 2010</c:v>
                </c:pt>
                <c:pt idx="6">
                  <c:v>Q3 2010</c:v>
                </c:pt>
                <c:pt idx="7">
                  <c:v>Q4 2010</c:v>
                </c:pt>
                <c:pt idx="8">
                  <c:v>Q1 2011</c:v>
                </c:pt>
                <c:pt idx="9">
                  <c:v>Q2 2011</c:v>
                </c:pt>
                <c:pt idx="10">
                  <c:v>Q3 2011</c:v>
                </c:pt>
                <c:pt idx="11">
                  <c:v>Q4 2011</c:v>
                </c:pt>
                <c:pt idx="12">
                  <c:v>Q1 2012</c:v>
                </c:pt>
                <c:pt idx="13">
                  <c:v>Q2 2012</c:v>
                </c:pt>
                <c:pt idx="14">
                  <c:v>Q3 2012</c:v>
                </c:pt>
                <c:pt idx="15">
                  <c:v>Q4 2012</c:v>
                </c:pt>
                <c:pt idx="16">
                  <c:v>Q1 2013</c:v>
                </c:pt>
                <c:pt idx="17">
                  <c:v>Q2 2013</c:v>
                </c:pt>
                <c:pt idx="18">
                  <c:v>Q3 2013</c:v>
                </c:pt>
                <c:pt idx="19">
                  <c:v>Q4 2013</c:v>
                </c:pt>
              </c:strCache>
            </c:strRef>
          </c:cat>
          <c:val>
            <c:numRef>
              <c:f>'Shipments (2)'!$F$12:$Y$12</c:f>
              <c:numCache>
                <c:formatCode>_(* #,##0_);_(* \(#,##0\);_(* "-"??_);_(@_)</c:formatCode>
                <c:ptCount val="20"/>
                <c:pt idx="8">
                  <c:v>2.2E6</c:v>
                </c:pt>
                <c:pt idx="9">
                  <c:v>2.7E6</c:v>
                </c:pt>
                <c:pt idx="10">
                  <c:v>3.1E6</c:v>
                </c:pt>
                <c:pt idx="11">
                  <c:v>3.8E6</c:v>
                </c:pt>
                <c:pt idx="12">
                  <c:v>5.0E6</c:v>
                </c:pt>
                <c:pt idx="13">
                  <c:v>5.0E6</c:v>
                </c:pt>
                <c:pt idx="14" formatCode="#,##0">
                  <c:v>6.8E6</c:v>
                </c:pt>
                <c:pt idx="15" formatCode="#,##0">
                  <c:v>9.2E6</c:v>
                </c:pt>
                <c:pt idx="16" formatCode="#,##0">
                  <c:v>9.0E6</c:v>
                </c:pt>
                <c:pt idx="17">
                  <c:v>1.08E7</c:v>
                </c:pt>
                <c:pt idx="18">
                  <c:v>1.25E7</c:v>
                </c:pt>
                <c:pt idx="19" formatCode="#,##0">
                  <c:v>1.05E7</c:v>
                </c:pt>
              </c:numCache>
            </c:numRef>
          </c:val>
        </c:ser>
        <c:ser>
          <c:idx val="3"/>
          <c:order val="7"/>
          <c:spPr>
            <a:solidFill>
              <a:schemeClr val="accent4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0.178785519477221"/>
                  <c:y val="-0.404165323648591"/>
                </c:manualLayout>
              </c:layout>
              <c:tx>
                <c:rich>
                  <a:bodyPr/>
                  <a:lstStyle/>
                  <a:p>
                    <a:r>
                      <a:rPr lang="en-US" sz="1800">
                        <a:solidFill>
                          <a:srgbClr val="000000"/>
                        </a:solidFill>
                      </a:rPr>
                      <a:t>Nokia Windows Phone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8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'Shipments (2)'!$F$2:$Y$2</c:f>
              <c:strCache>
                <c:ptCount val="20"/>
                <c:pt idx="0">
                  <c:v>Q1 2009</c:v>
                </c:pt>
                <c:pt idx="1">
                  <c:v>Q2 2009</c:v>
                </c:pt>
                <c:pt idx="2">
                  <c:v>Q3 2009</c:v>
                </c:pt>
                <c:pt idx="3">
                  <c:v>Q4 2009</c:v>
                </c:pt>
                <c:pt idx="4">
                  <c:v>Q1 2010</c:v>
                </c:pt>
                <c:pt idx="5">
                  <c:v>Q2 2010</c:v>
                </c:pt>
                <c:pt idx="6">
                  <c:v>Q3 2010</c:v>
                </c:pt>
                <c:pt idx="7">
                  <c:v>Q4 2010</c:v>
                </c:pt>
                <c:pt idx="8">
                  <c:v>Q1 2011</c:v>
                </c:pt>
                <c:pt idx="9">
                  <c:v>Q2 2011</c:v>
                </c:pt>
                <c:pt idx="10">
                  <c:v>Q3 2011</c:v>
                </c:pt>
                <c:pt idx="11">
                  <c:v>Q4 2011</c:v>
                </c:pt>
                <c:pt idx="12">
                  <c:v>Q1 2012</c:v>
                </c:pt>
                <c:pt idx="13">
                  <c:v>Q2 2012</c:v>
                </c:pt>
                <c:pt idx="14">
                  <c:v>Q3 2012</c:v>
                </c:pt>
                <c:pt idx="15">
                  <c:v>Q4 2012</c:v>
                </c:pt>
                <c:pt idx="16">
                  <c:v>Q1 2013</c:v>
                </c:pt>
                <c:pt idx="17">
                  <c:v>Q2 2013</c:v>
                </c:pt>
                <c:pt idx="18">
                  <c:v>Q3 2013</c:v>
                </c:pt>
                <c:pt idx="19">
                  <c:v>Q4 2013</c:v>
                </c:pt>
              </c:strCache>
            </c:strRef>
          </c:cat>
          <c:val>
            <c:numRef>
              <c:f>'Shipments (2)'!$F$7:$Y$7</c:f>
              <c:numCache>
                <c:formatCode>General</c:formatCode>
                <c:ptCount val="20"/>
                <c:pt idx="11" formatCode="_(* #,##0_);_(* \(#,##0\);_(* &quot;-&quot;??_);_(@_)">
                  <c:v>2.0E6</c:v>
                </c:pt>
                <c:pt idx="12" formatCode="_(* #,##0_);_(* \(#,##0\);_(* &quot;-&quot;??_);_(@_)">
                  <c:v>2.0E6</c:v>
                </c:pt>
                <c:pt idx="13" formatCode="_(* #,##0_);_(* \(#,##0\);_(* &quot;-&quot;??_);_(@_)">
                  <c:v>4.0E6</c:v>
                </c:pt>
                <c:pt idx="14" formatCode="#,##0">
                  <c:v>2.9E6</c:v>
                </c:pt>
                <c:pt idx="15" formatCode="#,##0">
                  <c:v>4.4E6</c:v>
                </c:pt>
                <c:pt idx="16" formatCode="#,##0">
                  <c:v>5.6E6</c:v>
                </c:pt>
                <c:pt idx="17" formatCode="_(* #,##0_);_(* \(#,##0\);_(* &quot;-&quot;??_);_(@_)">
                  <c:v>7.4E6</c:v>
                </c:pt>
                <c:pt idx="18" formatCode="_(* #,##0_);_(* \(#,##0\);_(* &quot;-&quot;??_);_(@_)">
                  <c:v>8.8E6</c:v>
                </c:pt>
                <c:pt idx="19" formatCode="_(* #,##0_);_(* \(#,##0\);_(* &quot;-&quot;??_);_(@_)">
                  <c:v>8.2E6</c:v>
                </c:pt>
              </c:numCache>
            </c:numRef>
          </c:val>
        </c:ser>
        <c:ser>
          <c:idx val="1"/>
          <c:order val="8"/>
          <c:spPr>
            <a:solidFill>
              <a:schemeClr val="accent1"/>
            </a:solidFill>
          </c:spPr>
          <c:dLbls>
            <c:dLbl>
              <c:idx val="0"/>
              <c:layout>
                <c:manualLayout>
                  <c:x val="0.280149383678416"/>
                  <c:y val="-0.458069795839763"/>
                </c:manualLayout>
              </c:layout>
              <c:tx>
                <c:rich>
                  <a:bodyPr/>
                  <a:lstStyle/>
                  <a:p>
                    <a:r>
                      <a:rPr lang="en-US" sz="1800">
                        <a:solidFill>
                          <a:srgbClr val="000000"/>
                        </a:solidFill>
                      </a:rPr>
                      <a:t>BlackBerry</a:t>
                    </a:r>
                    <a:endParaRPr lang="en-US" sz="1400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8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'Shipments (2)'!$F$2:$Y$2</c:f>
              <c:strCache>
                <c:ptCount val="20"/>
                <c:pt idx="0">
                  <c:v>Q1 2009</c:v>
                </c:pt>
                <c:pt idx="1">
                  <c:v>Q2 2009</c:v>
                </c:pt>
                <c:pt idx="2">
                  <c:v>Q3 2009</c:v>
                </c:pt>
                <c:pt idx="3">
                  <c:v>Q4 2009</c:v>
                </c:pt>
                <c:pt idx="4">
                  <c:v>Q1 2010</c:v>
                </c:pt>
                <c:pt idx="5">
                  <c:v>Q2 2010</c:v>
                </c:pt>
                <c:pt idx="6">
                  <c:v>Q3 2010</c:v>
                </c:pt>
                <c:pt idx="7">
                  <c:v>Q4 2010</c:v>
                </c:pt>
                <c:pt idx="8">
                  <c:v>Q1 2011</c:v>
                </c:pt>
                <c:pt idx="9">
                  <c:v>Q2 2011</c:v>
                </c:pt>
                <c:pt idx="10">
                  <c:v>Q3 2011</c:v>
                </c:pt>
                <c:pt idx="11">
                  <c:v>Q4 2011</c:v>
                </c:pt>
                <c:pt idx="12">
                  <c:v>Q1 2012</c:v>
                </c:pt>
                <c:pt idx="13">
                  <c:v>Q2 2012</c:v>
                </c:pt>
                <c:pt idx="14">
                  <c:v>Q3 2012</c:v>
                </c:pt>
                <c:pt idx="15">
                  <c:v>Q4 2012</c:v>
                </c:pt>
                <c:pt idx="16">
                  <c:v>Q1 2013</c:v>
                </c:pt>
                <c:pt idx="17">
                  <c:v>Q2 2013</c:v>
                </c:pt>
                <c:pt idx="18">
                  <c:v>Q3 2013</c:v>
                </c:pt>
                <c:pt idx="19">
                  <c:v>Q4 2013</c:v>
                </c:pt>
              </c:strCache>
            </c:strRef>
          </c:cat>
          <c:val>
            <c:numRef>
              <c:f>'Shipments (2)'!$F$4:$Y$4</c:f>
              <c:numCache>
                <c:formatCode>#,##0</c:formatCode>
                <c:ptCount val="20"/>
                <c:pt idx="0">
                  <c:v>7.5336E6</c:v>
                </c:pt>
                <c:pt idx="1">
                  <c:v>7.7822E6</c:v>
                </c:pt>
                <c:pt idx="2">
                  <c:v>8.3E6</c:v>
                </c:pt>
                <c:pt idx="3">
                  <c:v>1.01E7</c:v>
                </c:pt>
                <c:pt idx="4">
                  <c:v>1.05E7</c:v>
                </c:pt>
                <c:pt idx="5">
                  <c:v>1.12E7</c:v>
                </c:pt>
                <c:pt idx="6">
                  <c:v>1.21E7</c:v>
                </c:pt>
                <c:pt idx="7">
                  <c:v>1.42E7</c:v>
                </c:pt>
                <c:pt idx="8">
                  <c:v>1.35E7</c:v>
                </c:pt>
                <c:pt idx="9">
                  <c:v>1.32E7</c:v>
                </c:pt>
                <c:pt idx="10">
                  <c:v>1.27011E7</c:v>
                </c:pt>
                <c:pt idx="11">
                  <c:v>1.41E7</c:v>
                </c:pt>
                <c:pt idx="12">
                  <c:v>9.7E6</c:v>
                </c:pt>
                <c:pt idx="13">
                  <c:v>7.8E6</c:v>
                </c:pt>
                <c:pt idx="14">
                  <c:v>7.7E6</c:v>
                </c:pt>
                <c:pt idx="15">
                  <c:v>6.9E6</c:v>
                </c:pt>
                <c:pt idx="16">
                  <c:v>6.0E6</c:v>
                </c:pt>
                <c:pt idx="17">
                  <c:v>6.8E6</c:v>
                </c:pt>
                <c:pt idx="18">
                  <c:v>5.9E6</c:v>
                </c:pt>
                <c:pt idx="19">
                  <c:v>1.7E6</c:v>
                </c:pt>
              </c:numCache>
            </c:numRef>
          </c:val>
        </c:ser>
        <c:ser>
          <c:idx val="5"/>
          <c:order val="9"/>
          <c:spPr>
            <a:solidFill>
              <a:schemeClr val="accent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0.240380230740327"/>
                  <c:y val="-0.396488991931339"/>
                </c:manualLayout>
              </c:layout>
              <c:tx>
                <c:rich>
                  <a:bodyPr/>
                  <a:lstStyle/>
                  <a:p>
                    <a:r>
                      <a:rPr lang="en-US" sz="1800">
                        <a:solidFill>
                          <a:srgbClr val="000000"/>
                        </a:solidFill>
                      </a:rPr>
                      <a:t>HTC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800" b="1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'Shipments (2)'!$F$2:$Y$2</c:f>
              <c:strCache>
                <c:ptCount val="20"/>
                <c:pt idx="0">
                  <c:v>Q1 2009</c:v>
                </c:pt>
                <c:pt idx="1">
                  <c:v>Q2 2009</c:v>
                </c:pt>
                <c:pt idx="2">
                  <c:v>Q3 2009</c:v>
                </c:pt>
                <c:pt idx="3">
                  <c:v>Q4 2009</c:v>
                </c:pt>
                <c:pt idx="4">
                  <c:v>Q1 2010</c:v>
                </c:pt>
                <c:pt idx="5">
                  <c:v>Q2 2010</c:v>
                </c:pt>
                <c:pt idx="6">
                  <c:v>Q3 2010</c:v>
                </c:pt>
                <c:pt idx="7">
                  <c:v>Q4 2010</c:v>
                </c:pt>
                <c:pt idx="8">
                  <c:v>Q1 2011</c:v>
                </c:pt>
                <c:pt idx="9">
                  <c:v>Q2 2011</c:v>
                </c:pt>
                <c:pt idx="10">
                  <c:v>Q3 2011</c:v>
                </c:pt>
                <c:pt idx="11">
                  <c:v>Q4 2011</c:v>
                </c:pt>
                <c:pt idx="12">
                  <c:v>Q1 2012</c:v>
                </c:pt>
                <c:pt idx="13">
                  <c:v>Q2 2012</c:v>
                </c:pt>
                <c:pt idx="14">
                  <c:v>Q3 2012</c:v>
                </c:pt>
                <c:pt idx="15">
                  <c:v>Q4 2012</c:v>
                </c:pt>
                <c:pt idx="16">
                  <c:v>Q1 2013</c:v>
                </c:pt>
                <c:pt idx="17">
                  <c:v>Q2 2013</c:v>
                </c:pt>
                <c:pt idx="18">
                  <c:v>Q3 2013</c:v>
                </c:pt>
                <c:pt idx="19">
                  <c:v>Q4 2013</c:v>
                </c:pt>
              </c:strCache>
            </c:strRef>
          </c:cat>
          <c:val>
            <c:numRef>
              <c:f>'Shipments (2)'!$F$8:$Y$8</c:f>
              <c:numCache>
                <c:formatCode>_(* #,##0_);_(* \(#,##0\);_(* "-"??_);_(@_)</c:formatCode>
                <c:ptCount val="20"/>
                <c:pt idx="0">
                  <c:v>1.96E6</c:v>
                </c:pt>
                <c:pt idx="1">
                  <c:v>2.4E6</c:v>
                </c:pt>
                <c:pt idx="2">
                  <c:v>2.6595E6</c:v>
                </c:pt>
                <c:pt idx="3">
                  <c:v>3.46007604562738E6</c:v>
                </c:pt>
                <c:pt idx="4">
                  <c:v>3.23461279304817E6</c:v>
                </c:pt>
                <c:pt idx="5">
                  <c:v>5.42600896860987E6</c:v>
                </c:pt>
                <c:pt idx="6">
                  <c:v>6.83937823834197E6</c:v>
                </c:pt>
                <c:pt idx="7">
                  <c:v>9.1E6</c:v>
                </c:pt>
                <c:pt idx="8">
                  <c:v>9.0E6</c:v>
                </c:pt>
                <c:pt idx="9">
                  <c:v>1.21E7</c:v>
                </c:pt>
                <c:pt idx="10">
                  <c:v>1.32E7</c:v>
                </c:pt>
                <c:pt idx="11">
                  <c:v>1.0E7</c:v>
                </c:pt>
                <c:pt idx="12">
                  <c:v>6.9E6</c:v>
                </c:pt>
                <c:pt idx="13">
                  <c:v>9.0E6</c:v>
                </c:pt>
                <c:pt idx="14" formatCode="#,##0">
                  <c:v>7.7E6</c:v>
                </c:pt>
                <c:pt idx="15" formatCode="#,##0">
                  <c:v>6.6E6</c:v>
                </c:pt>
                <c:pt idx="16" formatCode="#,##0">
                  <c:v>4.8E6</c:v>
                </c:pt>
                <c:pt idx="17">
                  <c:v>4.3E6</c:v>
                </c:pt>
                <c:pt idx="18">
                  <c:v>5.9E6</c:v>
                </c:pt>
                <c:pt idx="19">
                  <c:v>5.0E6</c:v>
                </c:pt>
              </c:numCache>
            </c:numRef>
          </c:val>
        </c:ser>
        <c:ser>
          <c:idx val="4"/>
          <c:order val="10"/>
          <c:spPr>
            <a:solidFill>
              <a:schemeClr val="accent5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0.333779818738104"/>
                  <c:y val="-0.425638757612569"/>
                </c:manualLayout>
              </c:layout>
              <c:tx>
                <c:rich>
                  <a:bodyPr/>
                  <a:lstStyle/>
                  <a:p>
                    <a:r>
                      <a:rPr lang="en-US" sz="1800">
                        <a:solidFill>
                          <a:srgbClr val="000000"/>
                        </a:solidFill>
                      </a:rPr>
                      <a:t>Motorola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8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'Shipments (2)'!$F$2:$Y$2</c:f>
              <c:strCache>
                <c:ptCount val="20"/>
                <c:pt idx="0">
                  <c:v>Q1 2009</c:v>
                </c:pt>
                <c:pt idx="1">
                  <c:v>Q2 2009</c:v>
                </c:pt>
                <c:pt idx="2">
                  <c:v>Q3 2009</c:v>
                </c:pt>
                <c:pt idx="3">
                  <c:v>Q4 2009</c:v>
                </c:pt>
                <c:pt idx="4">
                  <c:v>Q1 2010</c:v>
                </c:pt>
                <c:pt idx="5">
                  <c:v>Q2 2010</c:v>
                </c:pt>
                <c:pt idx="6">
                  <c:v>Q3 2010</c:v>
                </c:pt>
                <c:pt idx="7">
                  <c:v>Q4 2010</c:v>
                </c:pt>
                <c:pt idx="8">
                  <c:v>Q1 2011</c:v>
                </c:pt>
                <c:pt idx="9">
                  <c:v>Q2 2011</c:v>
                </c:pt>
                <c:pt idx="10">
                  <c:v>Q3 2011</c:v>
                </c:pt>
                <c:pt idx="11">
                  <c:v>Q4 2011</c:v>
                </c:pt>
                <c:pt idx="12">
                  <c:v>Q1 2012</c:v>
                </c:pt>
                <c:pt idx="13">
                  <c:v>Q2 2012</c:v>
                </c:pt>
                <c:pt idx="14">
                  <c:v>Q3 2012</c:v>
                </c:pt>
                <c:pt idx="15">
                  <c:v>Q4 2012</c:v>
                </c:pt>
                <c:pt idx="16">
                  <c:v>Q1 2013</c:v>
                </c:pt>
                <c:pt idx="17">
                  <c:v>Q2 2013</c:v>
                </c:pt>
                <c:pt idx="18">
                  <c:v>Q3 2013</c:v>
                </c:pt>
                <c:pt idx="19">
                  <c:v>Q4 2013</c:v>
                </c:pt>
              </c:strCache>
            </c:strRef>
          </c:cat>
          <c:val>
            <c:numRef>
              <c:f>'Shipments (2)'!$F$6:$Y$6</c:f>
              <c:numCache>
                <c:formatCode>#,##0</c:formatCode>
                <c:ptCount val="20"/>
                <c:pt idx="0">
                  <c:v>1.28571428571429E6</c:v>
                </c:pt>
                <c:pt idx="1">
                  <c:v>1.57142857142857E6</c:v>
                </c:pt>
                <c:pt idx="2">
                  <c:v>1.78571428571429E6</c:v>
                </c:pt>
                <c:pt idx="3">
                  <c:v>2.5E6</c:v>
                </c:pt>
                <c:pt idx="4">
                  <c:v>2.3E6</c:v>
                </c:pt>
                <c:pt idx="5">
                  <c:v>2.7E6</c:v>
                </c:pt>
                <c:pt idx="6">
                  <c:v>3.8E6</c:v>
                </c:pt>
                <c:pt idx="7">
                  <c:v>4.9E6</c:v>
                </c:pt>
                <c:pt idx="8">
                  <c:v>4.1E6</c:v>
                </c:pt>
                <c:pt idx="9">
                  <c:v>4.4E6</c:v>
                </c:pt>
                <c:pt idx="10">
                  <c:v>4.8E6</c:v>
                </c:pt>
                <c:pt idx="11">
                  <c:v>5.3E6</c:v>
                </c:pt>
                <c:pt idx="12">
                  <c:v>5.1E6</c:v>
                </c:pt>
                <c:pt idx="13">
                  <c:v>5.5E6</c:v>
                </c:pt>
                <c:pt idx="14">
                  <c:v>4.8E6</c:v>
                </c:pt>
                <c:pt idx="15">
                  <c:v>4.6E6</c:v>
                </c:pt>
                <c:pt idx="16">
                  <c:v>2.5E6</c:v>
                </c:pt>
                <c:pt idx="17">
                  <c:v>2.1E6</c:v>
                </c:pt>
                <c:pt idx="18">
                  <c:v>2.3E6</c:v>
                </c:pt>
                <c:pt idx="19">
                  <c:v>2.2E6</c:v>
                </c:pt>
              </c:numCache>
            </c:numRef>
          </c:val>
        </c:ser>
        <c:ser>
          <c:idx val="11"/>
          <c:order val="11"/>
          <c:spPr>
            <a:solidFill>
              <a:schemeClr val="accent4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0.083942534310755"/>
                  <c:y val="0.0356443815562327"/>
                </c:manualLayout>
              </c:layout>
              <c:tx>
                <c:rich>
                  <a:bodyPr/>
                  <a:lstStyle/>
                  <a:p>
                    <a:r>
                      <a:rPr lang="en-US" sz="1800">
                        <a:solidFill>
                          <a:srgbClr val="000000"/>
                        </a:solidFill>
                      </a:rPr>
                      <a:t>Other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8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'Shipments (2)'!$F$2:$Y$2</c:f>
              <c:strCache>
                <c:ptCount val="20"/>
                <c:pt idx="0">
                  <c:v>Q1 2009</c:v>
                </c:pt>
                <c:pt idx="1">
                  <c:v>Q2 2009</c:v>
                </c:pt>
                <c:pt idx="2">
                  <c:v>Q3 2009</c:v>
                </c:pt>
                <c:pt idx="3">
                  <c:v>Q4 2009</c:v>
                </c:pt>
                <c:pt idx="4">
                  <c:v>Q1 2010</c:v>
                </c:pt>
                <c:pt idx="5">
                  <c:v>Q2 2010</c:v>
                </c:pt>
                <c:pt idx="6">
                  <c:v>Q3 2010</c:v>
                </c:pt>
                <c:pt idx="7">
                  <c:v>Q4 2010</c:v>
                </c:pt>
                <c:pt idx="8">
                  <c:v>Q1 2011</c:v>
                </c:pt>
                <c:pt idx="9">
                  <c:v>Q2 2011</c:v>
                </c:pt>
                <c:pt idx="10">
                  <c:v>Q3 2011</c:v>
                </c:pt>
                <c:pt idx="11">
                  <c:v>Q4 2011</c:v>
                </c:pt>
                <c:pt idx="12">
                  <c:v>Q1 2012</c:v>
                </c:pt>
                <c:pt idx="13">
                  <c:v>Q2 2012</c:v>
                </c:pt>
                <c:pt idx="14">
                  <c:v>Q3 2012</c:v>
                </c:pt>
                <c:pt idx="15">
                  <c:v>Q4 2012</c:v>
                </c:pt>
                <c:pt idx="16">
                  <c:v>Q1 2013</c:v>
                </c:pt>
                <c:pt idx="17">
                  <c:v>Q2 2013</c:v>
                </c:pt>
                <c:pt idx="18">
                  <c:v>Q3 2013</c:v>
                </c:pt>
                <c:pt idx="19">
                  <c:v>Q4 2013</c:v>
                </c:pt>
              </c:strCache>
            </c:strRef>
          </c:cat>
          <c:val>
            <c:numRef>
              <c:f>'Shipments (2)'!$F$14:$Y$14</c:f>
              <c:numCache>
                <c:formatCode>#,##0</c:formatCode>
                <c:ptCount val="20"/>
                <c:pt idx="0">
                  <c:v>2.08539857142857E7</c:v>
                </c:pt>
                <c:pt idx="1">
                  <c:v>2.26301714285714E7</c:v>
                </c:pt>
                <c:pt idx="2">
                  <c:v>1.94973857142857E7</c:v>
                </c:pt>
                <c:pt idx="3">
                  <c:v>2.70802239543726E7</c:v>
                </c:pt>
                <c:pt idx="4">
                  <c:v>2.73208872069518E7</c:v>
                </c:pt>
                <c:pt idx="5">
                  <c:v>3.13320910313901E7</c:v>
                </c:pt>
                <c:pt idx="6">
                  <c:v>3.5193221761658E7</c:v>
                </c:pt>
                <c:pt idx="7">
                  <c:v>3.61103E7</c:v>
                </c:pt>
                <c:pt idx="8">
                  <c:v>2.60193757349091E7</c:v>
                </c:pt>
                <c:pt idx="9">
                  <c:v>2.08476455806287E7</c:v>
                </c:pt>
                <c:pt idx="10">
                  <c:v>1.798269999E7</c:v>
                </c:pt>
                <c:pt idx="11">
                  <c:v>1.72426103E7</c:v>
                </c:pt>
                <c:pt idx="12">
                  <c:v>1.56412996477273E7</c:v>
                </c:pt>
                <c:pt idx="13">
                  <c:v>2.2238632336E7</c:v>
                </c:pt>
                <c:pt idx="14">
                  <c:v>3.265E7</c:v>
                </c:pt>
                <c:pt idx="15">
                  <c:v>2.69624E7</c:v>
                </c:pt>
                <c:pt idx="16" formatCode="_(* #,##0_);_(* \(#,##0\);_(* &quot;-&quot;??_);_(@_)">
                  <c:v>4.41E7</c:v>
                </c:pt>
                <c:pt idx="17" formatCode="_(* #,##0_);_(* \(#,##0\);_(* &quot;-&quot;??_);_(@_)">
                  <c:v>5.25E7</c:v>
                </c:pt>
                <c:pt idx="18" formatCode="_(* #,##0_);_(* \(#,##0\);_(* &quot;-&quot;??_);_(@_)">
                  <c:v>5.735E7</c:v>
                </c:pt>
                <c:pt idx="19" formatCode="_(* #,##0_);_(* \(#,##0\);_(* &quot;-&quot;??_);_(@_)">
                  <c:v>7.535E7</c:v>
                </c:pt>
              </c:numCache>
            </c:numRef>
          </c:val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2070352488"/>
        <c:axId val="2070355224"/>
      </c:areaChart>
      <c:catAx>
        <c:axId val="20703524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2000" b="0">
                <a:solidFill>
                  <a:srgbClr val="000000"/>
                </a:solidFill>
              </a:defRPr>
            </a:pPr>
            <a:endParaRPr lang="en-US"/>
          </a:p>
        </c:txPr>
        <c:crossAx val="2070355224"/>
        <c:crosses val="autoZero"/>
        <c:auto val="1"/>
        <c:lblAlgn val="ctr"/>
        <c:lblOffset val="100"/>
        <c:noMultiLvlLbl val="0"/>
      </c:catAx>
      <c:valAx>
        <c:axId val="2070355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>
                    <a:solidFill>
                      <a:srgbClr val="000000"/>
                    </a:solidFill>
                  </a:defRPr>
                </a:pPr>
                <a:r>
                  <a:rPr lang="en-US" sz="2000">
                    <a:solidFill>
                      <a:srgbClr val="000000"/>
                    </a:solidFill>
                  </a:rPr>
                  <a:t>Units </a:t>
                </a:r>
                <a:r>
                  <a:rPr lang="en-US" sz="2000" baseline="0">
                    <a:solidFill>
                      <a:srgbClr val="000000"/>
                    </a:solidFill>
                  </a:rPr>
                  <a:t> </a:t>
                </a:r>
                <a:r>
                  <a:rPr lang="en-US" sz="2000">
                    <a:solidFill>
                      <a:srgbClr val="000000"/>
                    </a:solidFill>
                  </a:rPr>
                  <a:t>Shipped</a:t>
                </a:r>
              </a:p>
            </c:rich>
          </c:tx>
          <c:layout>
            <c:manualLayout>
              <c:xMode val="edge"/>
              <c:yMode val="edge"/>
              <c:x val="0.0129352635676485"/>
              <c:y val="0.43042682771449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2000" b="0">
                <a:solidFill>
                  <a:srgbClr val="000000"/>
                </a:solidFill>
              </a:defRPr>
            </a:pPr>
            <a:endParaRPr lang="en-US"/>
          </a:p>
        </c:txPr>
        <c:crossAx val="2070352488"/>
        <c:crosses val="autoZero"/>
        <c:crossBetween val="midCat"/>
        <c:majorUnit val="2.5E7"/>
      </c:valAx>
      <c:spPr>
        <a:noFill/>
      </c:spPr>
    </c:plotArea>
    <c:plotVisOnly val="1"/>
    <c:dispBlanksAs val="zero"/>
    <c:showDLblsOverMax val="0"/>
  </c:chart>
  <c:spPr>
    <a:solidFill>
      <a:schemeClr val="bg1"/>
    </a:solidFill>
    <a:ln>
      <a:noFill/>
    </a:ln>
  </c:spPr>
  <c:txPr>
    <a:bodyPr/>
    <a:lstStyle/>
    <a:p>
      <a:pPr>
        <a:defRPr sz="1100" b="1"/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0">
                <a:solidFill>
                  <a:srgbClr val="000000"/>
                </a:solidFill>
              </a:defRPr>
            </a:pPr>
            <a:r>
              <a:rPr lang="en-US" sz="4000">
                <a:solidFill>
                  <a:srgbClr val="000000"/>
                </a:solidFill>
              </a:rPr>
              <a:t>Facebook Ad Revenues</a:t>
            </a:r>
          </a:p>
        </c:rich>
      </c:tx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'FB ad rev (2)'!$B$10</c:f>
              <c:strCache>
                <c:ptCount val="1"/>
                <c:pt idx="0">
                  <c:v>Total Ad Revenue</c:v>
                </c:pt>
              </c:strCache>
            </c:strRef>
          </c:tx>
          <c:dLbls>
            <c:dLbl>
              <c:idx val="0"/>
              <c:layout>
                <c:manualLayout>
                  <c:x val="0.183437151611614"/>
                  <c:y val="-0.0795252225519288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'FB ad rev (2)'!$C$9:$R$9</c:f>
              <c:strCache>
                <c:ptCount val="16"/>
                <c:pt idx="0">
                  <c:v>1Q10</c:v>
                </c:pt>
                <c:pt idx="1">
                  <c:v>2Q10</c:v>
                </c:pt>
                <c:pt idx="2">
                  <c:v>3Q10</c:v>
                </c:pt>
                <c:pt idx="3">
                  <c:v>4Q10</c:v>
                </c:pt>
                <c:pt idx="4">
                  <c:v>1Q11</c:v>
                </c:pt>
                <c:pt idx="5">
                  <c:v>2Q11</c:v>
                </c:pt>
                <c:pt idx="6">
                  <c:v>3Q11</c:v>
                </c:pt>
                <c:pt idx="7">
                  <c:v>4Q11</c:v>
                </c:pt>
                <c:pt idx="8">
                  <c:v>1Q12</c:v>
                </c:pt>
                <c:pt idx="9">
                  <c:v>2Q12</c:v>
                </c:pt>
                <c:pt idx="10">
                  <c:v>3Q12</c:v>
                </c:pt>
                <c:pt idx="11">
                  <c:v>4Q12</c:v>
                </c:pt>
                <c:pt idx="12">
                  <c:v>1Q13</c:v>
                </c:pt>
                <c:pt idx="13">
                  <c:v>2Q13</c:v>
                </c:pt>
                <c:pt idx="14">
                  <c:v>3Q13</c:v>
                </c:pt>
                <c:pt idx="15">
                  <c:v>4Q13</c:v>
                </c:pt>
              </c:strCache>
            </c:strRef>
          </c:cat>
          <c:val>
            <c:numRef>
              <c:f>'FB ad rev (2)'!$C$10:$R$10</c:f>
              <c:numCache>
                <c:formatCode>[$$-45C]\ #,##0</c:formatCode>
                <c:ptCount val="16"/>
                <c:pt idx="0">
                  <c:v>340.0</c:v>
                </c:pt>
                <c:pt idx="1">
                  <c:v>424.0</c:v>
                </c:pt>
                <c:pt idx="2">
                  <c:v>450.0</c:v>
                </c:pt>
                <c:pt idx="3">
                  <c:v>655.0</c:v>
                </c:pt>
                <c:pt idx="4">
                  <c:v>637.0</c:v>
                </c:pt>
                <c:pt idx="5">
                  <c:v>776.0</c:v>
                </c:pt>
                <c:pt idx="6">
                  <c:v>798.0</c:v>
                </c:pt>
                <c:pt idx="7">
                  <c:v>943.0</c:v>
                </c:pt>
                <c:pt idx="8">
                  <c:v>872.0</c:v>
                </c:pt>
                <c:pt idx="9">
                  <c:v>992.0</c:v>
                </c:pt>
                <c:pt idx="10">
                  <c:v>1086.0</c:v>
                </c:pt>
                <c:pt idx="11">
                  <c:v>1330.0</c:v>
                </c:pt>
                <c:pt idx="12">
                  <c:v>1250.0</c:v>
                </c:pt>
                <c:pt idx="13">
                  <c:v>1600.0</c:v>
                </c:pt>
                <c:pt idx="14">
                  <c:v>1800.0</c:v>
                </c:pt>
                <c:pt idx="15">
                  <c:v>2344.0</c:v>
                </c:pt>
              </c:numCache>
            </c:numRef>
          </c:val>
        </c:ser>
        <c:ser>
          <c:idx val="1"/>
          <c:order val="1"/>
          <c:tx>
            <c:strRef>
              <c:f>'FB ad rev (2)'!$B$11</c:f>
              <c:strCache>
                <c:ptCount val="1"/>
                <c:pt idx="0">
                  <c:v>Mobile Ad Revenue</c:v>
                </c:pt>
              </c:strCache>
            </c:strRef>
          </c:tx>
          <c:dLbls>
            <c:dLbl>
              <c:idx val="0"/>
              <c:layout>
                <c:manualLayout>
                  <c:x val="0.348174532502226"/>
                  <c:y val="-0.0830860534124629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'FB ad rev (2)'!$C$9:$R$9</c:f>
              <c:strCache>
                <c:ptCount val="16"/>
                <c:pt idx="0">
                  <c:v>1Q10</c:v>
                </c:pt>
                <c:pt idx="1">
                  <c:v>2Q10</c:v>
                </c:pt>
                <c:pt idx="2">
                  <c:v>3Q10</c:v>
                </c:pt>
                <c:pt idx="3">
                  <c:v>4Q10</c:v>
                </c:pt>
                <c:pt idx="4">
                  <c:v>1Q11</c:v>
                </c:pt>
                <c:pt idx="5">
                  <c:v>2Q11</c:v>
                </c:pt>
                <c:pt idx="6">
                  <c:v>3Q11</c:v>
                </c:pt>
                <c:pt idx="7">
                  <c:v>4Q11</c:v>
                </c:pt>
                <c:pt idx="8">
                  <c:v>1Q12</c:v>
                </c:pt>
                <c:pt idx="9">
                  <c:v>2Q12</c:v>
                </c:pt>
                <c:pt idx="10">
                  <c:v>3Q12</c:v>
                </c:pt>
                <c:pt idx="11">
                  <c:v>4Q12</c:v>
                </c:pt>
                <c:pt idx="12">
                  <c:v>1Q13</c:v>
                </c:pt>
                <c:pt idx="13">
                  <c:v>2Q13</c:v>
                </c:pt>
                <c:pt idx="14">
                  <c:v>3Q13</c:v>
                </c:pt>
                <c:pt idx="15">
                  <c:v>4Q13</c:v>
                </c:pt>
              </c:strCache>
            </c:strRef>
          </c:cat>
          <c:val>
            <c:numRef>
              <c:f>'FB ad rev (2)'!$C$11:$R$11</c:f>
              <c:numCache>
                <c:formatCode>General</c:formatCode>
                <c:ptCount val="16"/>
                <c:pt idx="9" formatCode="&quot;$&quot;#,##0">
                  <c:v>30.0</c:v>
                </c:pt>
                <c:pt idx="10" formatCode="&quot;$&quot;#,##0">
                  <c:v>152.0</c:v>
                </c:pt>
                <c:pt idx="11" formatCode="&quot;$&quot;#,##0">
                  <c:v>306.0</c:v>
                </c:pt>
                <c:pt idx="12" formatCode="&quot;$&quot;#,##0">
                  <c:v>375.0</c:v>
                </c:pt>
                <c:pt idx="13" formatCode="&quot;$&quot;#,##0">
                  <c:v>656.0</c:v>
                </c:pt>
                <c:pt idx="14" formatCode="&quot;$&quot;#,##0">
                  <c:v>882.0</c:v>
                </c:pt>
                <c:pt idx="15" formatCode="&quot;$&quot;#,##0">
                  <c:v>1242.32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7339128"/>
        <c:axId val="2097344712"/>
      </c:areaChart>
      <c:catAx>
        <c:axId val="2097339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>
                    <a:solidFill>
                      <a:srgbClr val="000000"/>
                    </a:solidFill>
                  </a:defRPr>
                </a:pPr>
                <a:r>
                  <a:rPr lang="en-US" sz="1800" b="0" i="1">
                    <a:solidFill>
                      <a:srgbClr val="000000"/>
                    </a:solidFill>
                  </a:rPr>
                  <a:t>Source: Facebook</a:t>
                </a:r>
              </a:p>
            </c:rich>
          </c:tx>
          <c:layout>
            <c:manualLayout>
              <c:xMode val="edge"/>
              <c:yMode val="edge"/>
              <c:x val="0.000165824107249276"/>
              <c:y val="0.973649851632047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7344712"/>
        <c:crosses val="autoZero"/>
        <c:auto val="1"/>
        <c:lblAlgn val="ctr"/>
        <c:lblOffset val="100"/>
        <c:noMultiLvlLbl val="0"/>
      </c:catAx>
      <c:valAx>
        <c:axId val="20973447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r>
                  <a:rPr lang="en-US" sz="2000">
                    <a:solidFill>
                      <a:srgbClr val="000000"/>
                    </a:solidFill>
                  </a:rPr>
                  <a:t>Millions</a:t>
                </a:r>
              </a:p>
            </c:rich>
          </c:tx>
          <c:overlay val="0"/>
        </c:title>
        <c:numFmt formatCode="[$$-45C]\ #,##0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7339128"/>
        <c:crosses val="autoZero"/>
        <c:crossBetween val="midCat"/>
      </c:valAx>
      <c:spPr>
        <a:noFill/>
      </c:spPr>
    </c:plotArea>
    <c:plotVisOnly val="1"/>
    <c:dispBlanksAs val="zero"/>
    <c:showDLblsOverMax val="0"/>
  </c:chart>
  <c:spPr>
    <a:solidFill>
      <a:srgbClr val="FFFFFF"/>
    </a:solidFill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000">
                <a:solidFill>
                  <a:srgbClr val="000000"/>
                </a:solidFill>
              </a:defRPr>
            </a:pPr>
            <a:r>
              <a:rPr lang="en-US" sz="4000">
                <a:solidFill>
                  <a:srgbClr val="000000"/>
                </a:solidFill>
              </a:rPr>
              <a:t>Ecommerce Website Traffic By Device</a:t>
            </a:r>
          </a:p>
        </c:rich>
      </c:tx>
      <c:overlay val="0"/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'Ecommerce device traffic (2)'!$D$7</c:f>
              <c:strCache>
                <c:ptCount val="1"/>
                <c:pt idx="0">
                  <c:v>PC</c:v>
                </c:pt>
              </c:strCache>
            </c:strRef>
          </c:tx>
          <c:spPr>
            <a:solidFill>
              <a:schemeClr val="accent2"/>
            </a:solidFill>
          </c:spPr>
          <c:dLbls>
            <c:txPr>
              <a:bodyPr/>
              <a:lstStyle/>
              <a:p>
                <a:pPr>
                  <a:defRPr sz="2000" b="1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'Ecommerce device traffic (2)'!$E$6:$O$6</c:f>
              <c:strCache>
                <c:ptCount val="11"/>
                <c:pt idx="0">
                  <c:v>Q1 2011</c:v>
                </c:pt>
                <c:pt idx="1">
                  <c:v>Q2 2011</c:v>
                </c:pt>
                <c:pt idx="2">
                  <c:v>Q3 2011</c:v>
                </c:pt>
                <c:pt idx="3">
                  <c:v>Q4 2011</c:v>
                </c:pt>
                <c:pt idx="4">
                  <c:v>Q1 2012</c:v>
                </c:pt>
                <c:pt idx="5">
                  <c:v>Q2 2012</c:v>
                </c:pt>
                <c:pt idx="6">
                  <c:v>Q3 2012</c:v>
                </c:pt>
                <c:pt idx="7">
                  <c:v>Q4 2012</c:v>
                </c:pt>
                <c:pt idx="8">
                  <c:v>Q1 2013</c:v>
                </c:pt>
                <c:pt idx="9">
                  <c:v>Q2 2013</c:v>
                </c:pt>
                <c:pt idx="10">
                  <c:v>Q3 2013</c:v>
                </c:pt>
              </c:strCache>
            </c:strRef>
          </c:cat>
          <c:val>
            <c:numRef>
              <c:f>'Ecommerce device traffic (2)'!$E$7:$O$7</c:f>
              <c:numCache>
                <c:formatCode>0.0%</c:formatCode>
                <c:ptCount val="11"/>
                <c:pt idx="0">
                  <c:v>0.9412</c:v>
                </c:pt>
                <c:pt idx="1">
                  <c:v>0.9347</c:v>
                </c:pt>
                <c:pt idx="2">
                  <c:v>0.9236</c:v>
                </c:pt>
                <c:pt idx="3">
                  <c:v>0.9164</c:v>
                </c:pt>
                <c:pt idx="4">
                  <c:v>0.8782</c:v>
                </c:pt>
                <c:pt idx="5">
                  <c:v>0.848</c:v>
                </c:pt>
                <c:pt idx="6">
                  <c:v>0.8254</c:v>
                </c:pt>
                <c:pt idx="7">
                  <c:v>0.8092</c:v>
                </c:pt>
                <c:pt idx="8">
                  <c:v>0.7888</c:v>
                </c:pt>
                <c:pt idx="9">
                  <c:v>0.7787</c:v>
                </c:pt>
                <c:pt idx="10" formatCode="0%">
                  <c:v>0.7529</c:v>
                </c:pt>
              </c:numCache>
            </c:numRef>
          </c:val>
        </c:ser>
        <c:ser>
          <c:idx val="1"/>
          <c:order val="1"/>
          <c:tx>
            <c:strRef>
              <c:f>'Ecommerce device traffic (2)'!$D$8</c:f>
              <c:strCache>
                <c:ptCount val="1"/>
                <c:pt idx="0">
                  <c:v>Tablet</c:v>
                </c:pt>
              </c:strCache>
            </c:strRef>
          </c:tx>
          <c:spPr>
            <a:solidFill>
              <a:schemeClr val="accent1"/>
            </a:solidFill>
          </c:spPr>
          <c:dLbls>
            <c:dLbl>
              <c:idx val="0"/>
              <c:layout>
                <c:manualLayout>
                  <c:x val="0.220837043633126"/>
                  <c:y val="0.032066508313539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 b="1" i="0" baseline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'Ecommerce device traffic (2)'!$E$6:$O$6</c:f>
              <c:strCache>
                <c:ptCount val="11"/>
                <c:pt idx="0">
                  <c:v>Q1 2011</c:v>
                </c:pt>
                <c:pt idx="1">
                  <c:v>Q2 2011</c:v>
                </c:pt>
                <c:pt idx="2">
                  <c:v>Q3 2011</c:v>
                </c:pt>
                <c:pt idx="3">
                  <c:v>Q4 2011</c:v>
                </c:pt>
                <c:pt idx="4">
                  <c:v>Q1 2012</c:v>
                </c:pt>
                <c:pt idx="5">
                  <c:v>Q2 2012</c:v>
                </c:pt>
                <c:pt idx="6">
                  <c:v>Q3 2012</c:v>
                </c:pt>
                <c:pt idx="7">
                  <c:v>Q4 2012</c:v>
                </c:pt>
                <c:pt idx="8">
                  <c:v>Q1 2013</c:v>
                </c:pt>
                <c:pt idx="9">
                  <c:v>Q2 2013</c:v>
                </c:pt>
                <c:pt idx="10">
                  <c:v>Q3 2013</c:v>
                </c:pt>
              </c:strCache>
            </c:strRef>
          </c:cat>
          <c:val>
            <c:numRef>
              <c:f>'Ecommerce device traffic (2)'!$E$8:$O$8</c:f>
              <c:numCache>
                <c:formatCode>0.0%</c:formatCode>
                <c:ptCount val="11"/>
                <c:pt idx="0">
                  <c:v>0.0166</c:v>
                </c:pt>
                <c:pt idx="1">
                  <c:v>0.0226</c:v>
                </c:pt>
                <c:pt idx="2">
                  <c:v>0.0317</c:v>
                </c:pt>
                <c:pt idx="3">
                  <c:v>0.0406</c:v>
                </c:pt>
                <c:pt idx="4">
                  <c:v>0.0612</c:v>
                </c:pt>
                <c:pt idx="5">
                  <c:v>0.0731</c:v>
                </c:pt>
                <c:pt idx="6">
                  <c:v>0.0855</c:v>
                </c:pt>
                <c:pt idx="7">
                  <c:v>0.0957</c:v>
                </c:pt>
                <c:pt idx="8">
                  <c:v>0.1149</c:v>
                </c:pt>
                <c:pt idx="9">
                  <c:v>0.1244</c:v>
                </c:pt>
                <c:pt idx="10" formatCode="0%">
                  <c:v>0.1465</c:v>
                </c:pt>
              </c:numCache>
            </c:numRef>
          </c:val>
        </c:ser>
        <c:ser>
          <c:idx val="2"/>
          <c:order val="2"/>
          <c:tx>
            <c:strRef>
              <c:f>'Ecommerce device traffic (2)'!$D$9</c:f>
              <c:strCache>
                <c:ptCount val="1"/>
                <c:pt idx="0">
                  <c:v>Smartphone</c:v>
                </c:pt>
              </c:strCache>
            </c:strRef>
          </c:tx>
          <c:spPr>
            <a:solidFill>
              <a:schemeClr val="accent3"/>
            </a:solidFill>
          </c:spPr>
          <c:dLbls>
            <c:dLbl>
              <c:idx val="0"/>
              <c:layout>
                <c:manualLayout>
                  <c:x val="0.284060552092609"/>
                  <c:y val="0.00356285185254456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 b="1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'Ecommerce device traffic (2)'!$E$6:$O$6</c:f>
              <c:strCache>
                <c:ptCount val="11"/>
                <c:pt idx="0">
                  <c:v>Q1 2011</c:v>
                </c:pt>
                <c:pt idx="1">
                  <c:v>Q2 2011</c:v>
                </c:pt>
                <c:pt idx="2">
                  <c:v>Q3 2011</c:v>
                </c:pt>
                <c:pt idx="3">
                  <c:v>Q4 2011</c:v>
                </c:pt>
                <c:pt idx="4">
                  <c:v>Q1 2012</c:v>
                </c:pt>
                <c:pt idx="5">
                  <c:v>Q2 2012</c:v>
                </c:pt>
                <c:pt idx="6">
                  <c:v>Q3 2012</c:v>
                </c:pt>
                <c:pt idx="7">
                  <c:v>Q4 2012</c:v>
                </c:pt>
                <c:pt idx="8">
                  <c:v>Q1 2013</c:v>
                </c:pt>
                <c:pt idx="9">
                  <c:v>Q2 2013</c:v>
                </c:pt>
                <c:pt idx="10">
                  <c:v>Q3 2013</c:v>
                </c:pt>
              </c:strCache>
            </c:strRef>
          </c:cat>
          <c:val>
            <c:numRef>
              <c:f>'Ecommerce device traffic (2)'!$E$9:$O$9</c:f>
              <c:numCache>
                <c:formatCode>0.0%</c:formatCode>
                <c:ptCount val="11"/>
                <c:pt idx="0">
                  <c:v>0.0423</c:v>
                </c:pt>
                <c:pt idx="1">
                  <c:v>0.0427</c:v>
                </c:pt>
                <c:pt idx="2">
                  <c:v>0.0447</c:v>
                </c:pt>
                <c:pt idx="3">
                  <c:v>0.043</c:v>
                </c:pt>
                <c:pt idx="4">
                  <c:v>0.0606</c:v>
                </c:pt>
                <c:pt idx="5">
                  <c:v>0.0789</c:v>
                </c:pt>
                <c:pt idx="6">
                  <c:v>0.0891</c:v>
                </c:pt>
                <c:pt idx="7">
                  <c:v>0.0951</c:v>
                </c:pt>
                <c:pt idx="8">
                  <c:v>0.0963</c:v>
                </c:pt>
                <c:pt idx="9">
                  <c:v>0.0969</c:v>
                </c:pt>
                <c:pt idx="10" formatCode="0%">
                  <c:v>0.1006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7409608"/>
        <c:axId val="2097415256"/>
      </c:areaChart>
      <c:catAx>
        <c:axId val="2097409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 i="1">
                    <a:solidFill>
                      <a:srgbClr val="000000"/>
                    </a:solidFill>
                  </a:defRPr>
                </a:pPr>
                <a:r>
                  <a:rPr lang="en-US" sz="1800" b="0" i="1">
                    <a:solidFill>
                      <a:srgbClr val="000000"/>
                    </a:solidFill>
                  </a:rPr>
                  <a:t>Source: Monetate</a:t>
                </a:r>
              </a:p>
            </c:rich>
          </c:tx>
          <c:layout>
            <c:manualLayout>
              <c:xMode val="edge"/>
              <c:yMode val="edge"/>
              <c:x val="0.000505886229938088"/>
              <c:y val="0.970783847980998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7415256"/>
        <c:crosses val="autoZero"/>
        <c:auto val="1"/>
        <c:lblAlgn val="ctr"/>
        <c:lblOffset val="100"/>
        <c:noMultiLvlLbl val="0"/>
      </c:catAx>
      <c:valAx>
        <c:axId val="20974152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7409608"/>
        <c:crosses val="autoZero"/>
        <c:crossBetween val="midCat"/>
      </c:valAx>
    </c:plotArea>
    <c:plotVisOnly val="1"/>
    <c:dispBlanksAs val="zero"/>
    <c:showDLblsOverMax val="0"/>
  </c:chart>
  <c:spPr>
    <a:solidFill>
      <a:srgbClr val="FFFFFF"/>
    </a:solidFill>
    <a:ln>
      <a:solidFill>
        <a:schemeClr val="bg1">
          <a:lumMod val="75000"/>
        </a:schemeClr>
      </a:solidFill>
    </a:ln>
  </c:spPr>
  <c:printSettings>
    <c:headerFooter/>
    <c:pageMargins b="1.0" l="0.75" r="0.75" t="1.0" header="0.5" footer="0.5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000">
                <a:solidFill>
                  <a:schemeClr val="tx1"/>
                </a:solidFill>
              </a:defRPr>
            </a:pPr>
            <a:r>
              <a:rPr lang="en-US" sz="4000">
                <a:solidFill>
                  <a:schemeClr val="tx1"/>
                </a:solidFill>
              </a:rPr>
              <a:t>U.S.</a:t>
            </a:r>
            <a:r>
              <a:rPr lang="en-US" sz="4000" baseline="0">
                <a:solidFill>
                  <a:schemeClr val="tx1"/>
                </a:solidFill>
              </a:rPr>
              <a:t> E-Commerce Retail Sales</a:t>
            </a:r>
          </a:p>
          <a:p>
            <a:pPr>
              <a:defRPr sz="4000">
                <a:solidFill>
                  <a:schemeClr val="tx1"/>
                </a:solidFill>
              </a:defRPr>
            </a:pPr>
            <a:endParaRPr lang="en-US" sz="4000" b="0" i="1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5140530798773"/>
          <c:y val="0.122267047084701"/>
          <c:w val="0.835956145808749"/>
          <c:h val="0.79334725365807"/>
        </c:manualLayout>
      </c:layout>
      <c:areaChart>
        <c:grouping val="standard"/>
        <c:varyColors val="0"/>
        <c:ser>
          <c:idx val="0"/>
          <c:order val="0"/>
          <c:spPr>
            <a:solidFill>
              <a:srgbClr val="1F497D"/>
            </a:solidFill>
          </c:spPr>
          <c:dLbls>
            <c:dLbl>
              <c:idx val="0"/>
              <c:layout>
                <c:manualLayout>
                  <c:x val="0.0572207084468665"/>
                  <c:y val="-0.0222672064777328"/>
                </c:manualLayout>
              </c:layout>
              <c:tx>
                <c:rich>
                  <a:bodyPr/>
                  <a:lstStyle/>
                  <a:p>
                    <a:r>
                      <a:rPr lang="en-US" sz="2200" b="1">
                        <a:solidFill>
                          <a:srgbClr val="000000"/>
                        </a:solidFill>
                      </a:rPr>
                      <a:t>Desktop</a:t>
                    </a:r>
                  </a:p>
                  <a:p>
                    <a:r>
                      <a:rPr lang="en-US" sz="2200" b="1">
                        <a:solidFill>
                          <a:srgbClr val="000000"/>
                        </a:solidFill>
                      </a:rPr>
                      <a:t>E-Commerce Sales</a:t>
                    </a:r>
                    <a:endParaRPr lang="en-US" sz="1600" b="1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2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'M-Commerce, E-commerce Share'!$B$4:$B$18</c:f>
              <c:strCache>
                <c:ptCount val="15"/>
                <c:pt idx="0">
                  <c:v>2Q10</c:v>
                </c:pt>
                <c:pt idx="1">
                  <c:v>3Q10</c:v>
                </c:pt>
                <c:pt idx="2">
                  <c:v>4Q10</c:v>
                </c:pt>
                <c:pt idx="3">
                  <c:v>1Q11</c:v>
                </c:pt>
                <c:pt idx="4">
                  <c:v>2Q11</c:v>
                </c:pt>
                <c:pt idx="5">
                  <c:v>3Q11</c:v>
                </c:pt>
                <c:pt idx="6">
                  <c:v>4Q11</c:v>
                </c:pt>
                <c:pt idx="7">
                  <c:v>1Q12</c:v>
                </c:pt>
                <c:pt idx="8">
                  <c:v>2Q12</c:v>
                </c:pt>
                <c:pt idx="9">
                  <c:v>3Q12</c:v>
                </c:pt>
                <c:pt idx="10">
                  <c:v>4Q12</c:v>
                </c:pt>
                <c:pt idx="11">
                  <c:v>1Q13</c:v>
                </c:pt>
                <c:pt idx="12">
                  <c:v>2Q13</c:v>
                </c:pt>
                <c:pt idx="13">
                  <c:v>3Q13</c:v>
                </c:pt>
                <c:pt idx="14">
                  <c:v>4Q13E</c:v>
                </c:pt>
              </c:strCache>
            </c:strRef>
          </c:cat>
          <c:val>
            <c:numRef>
              <c:f>'M-Commerce, E-commerce Share'!$C$4:$C$18</c:f>
              <c:numCache>
                <c:formatCode>0</c:formatCode>
                <c:ptCount val="15"/>
                <c:pt idx="0">
                  <c:v>37735.0</c:v>
                </c:pt>
                <c:pt idx="1">
                  <c:v>39235.0</c:v>
                </c:pt>
                <c:pt idx="2">
                  <c:v>53144.0</c:v>
                </c:pt>
                <c:pt idx="3">
                  <c:v>42975.0</c:v>
                </c:pt>
                <c:pt idx="4">
                  <c:v>44017.0</c:v>
                </c:pt>
                <c:pt idx="5">
                  <c:v>44634.0</c:v>
                </c:pt>
                <c:pt idx="6">
                  <c:v>62278.0</c:v>
                </c:pt>
                <c:pt idx="7">
                  <c:v>49999.0</c:v>
                </c:pt>
                <c:pt idx="8">
                  <c:v>50873.0</c:v>
                </c:pt>
                <c:pt idx="9">
                  <c:v>52368.0</c:v>
                </c:pt>
                <c:pt idx="10">
                  <c:v>72073.0</c:v>
                </c:pt>
                <c:pt idx="11">
                  <c:v>58132.0</c:v>
                </c:pt>
                <c:pt idx="12">
                  <c:v>60219.0</c:v>
                </c:pt>
                <c:pt idx="13">
                  <c:v>61270.0</c:v>
                </c:pt>
                <c:pt idx="14">
                  <c:v>82163.0</c:v>
                </c:pt>
              </c:numCache>
            </c:numRef>
          </c:val>
        </c:ser>
        <c:ser>
          <c:idx val="1"/>
          <c:order val="1"/>
          <c:spPr>
            <a:solidFill>
              <a:schemeClr val="accent6"/>
            </a:solidFill>
          </c:spPr>
          <c:dLbls>
            <c:dLbl>
              <c:idx val="0"/>
              <c:layout>
                <c:manualLayout>
                  <c:x val="0.284741144414169"/>
                  <c:y val="-0.00809716599190283"/>
                </c:manualLayout>
              </c:layout>
              <c:tx>
                <c:rich>
                  <a:bodyPr/>
                  <a:lstStyle/>
                  <a:p>
                    <a:r>
                      <a:rPr lang="en-US" sz="2200" b="1">
                        <a:solidFill>
                          <a:srgbClr val="000000"/>
                        </a:solidFill>
                      </a:rPr>
                      <a:t>Mobile</a:t>
                    </a:r>
                    <a:endParaRPr lang="en-US" sz="1600" b="1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2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'M-Commerce, E-commerce Share'!$B$4:$B$18</c:f>
              <c:strCache>
                <c:ptCount val="15"/>
                <c:pt idx="0">
                  <c:v>2Q10</c:v>
                </c:pt>
                <c:pt idx="1">
                  <c:v>3Q10</c:v>
                </c:pt>
                <c:pt idx="2">
                  <c:v>4Q10</c:v>
                </c:pt>
                <c:pt idx="3">
                  <c:v>1Q11</c:v>
                </c:pt>
                <c:pt idx="4">
                  <c:v>2Q11</c:v>
                </c:pt>
                <c:pt idx="5">
                  <c:v>3Q11</c:v>
                </c:pt>
                <c:pt idx="6">
                  <c:v>4Q11</c:v>
                </c:pt>
                <c:pt idx="7">
                  <c:v>1Q12</c:v>
                </c:pt>
                <c:pt idx="8">
                  <c:v>2Q12</c:v>
                </c:pt>
                <c:pt idx="9">
                  <c:v>3Q12</c:v>
                </c:pt>
                <c:pt idx="10">
                  <c:v>4Q12</c:v>
                </c:pt>
                <c:pt idx="11">
                  <c:v>1Q13</c:v>
                </c:pt>
                <c:pt idx="12">
                  <c:v>2Q13</c:v>
                </c:pt>
                <c:pt idx="13">
                  <c:v>3Q13</c:v>
                </c:pt>
                <c:pt idx="14">
                  <c:v>4Q13E</c:v>
                </c:pt>
              </c:strCache>
            </c:strRef>
          </c:cat>
          <c:val>
            <c:numRef>
              <c:f>'M-Commerce, E-commerce Share'!$D$4:$D$18</c:f>
              <c:numCache>
                <c:formatCode>"$"#,##0</c:formatCode>
                <c:ptCount val="15"/>
                <c:pt idx="0">
                  <c:v>754.7</c:v>
                </c:pt>
                <c:pt idx="1">
                  <c:v>1177.05</c:v>
                </c:pt>
                <c:pt idx="2">
                  <c:v>1594.32</c:v>
                </c:pt>
                <c:pt idx="3">
                  <c:v>2578.5</c:v>
                </c:pt>
                <c:pt idx="4">
                  <c:v>2641.02</c:v>
                </c:pt>
                <c:pt idx="5">
                  <c:v>3570.72</c:v>
                </c:pt>
                <c:pt idx="6">
                  <c:v>5605.02</c:v>
                </c:pt>
                <c:pt idx="7">
                  <c:v>3999.92</c:v>
                </c:pt>
                <c:pt idx="8">
                  <c:v>4578.57</c:v>
                </c:pt>
                <c:pt idx="9">
                  <c:v>5236.8</c:v>
                </c:pt>
                <c:pt idx="10">
                  <c:v>7928.03</c:v>
                </c:pt>
                <c:pt idx="11">
                  <c:v>6394.52</c:v>
                </c:pt>
                <c:pt idx="12">
                  <c:v>5419.71</c:v>
                </c:pt>
                <c:pt idx="13">
                  <c:v>7352.4</c:v>
                </c:pt>
                <c:pt idx="14">
                  <c:v>10681.19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7475944"/>
        <c:axId val="2097481928"/>
      </c:areaChart>
      <c:catAx>
        <c:axId val="2097475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00">
                    <a:solidFill>
                      <a:srgbClr val="000000"/>
                    </a:solidFill>
                  </a:defRPr>
                </a:pPr>
                <a:r>
                  <a:rPr lang="en-US" sz="1800" b="0" i="1">
                    <a:solidFill>
                      <a:srgbClr val="000000"/>
                    </a:solidFill>
                  </a:rPr>
                  <a:t>Source:</a:t>
                </a:r>
                <a:r>
                  <a:rPr lang="en-US" sz="1800" b="0" i="1" baseline="0">
                    <a:solidFill>
                      <a:srgbClr val="000000"/>
                    </a:solidFill>
                  </a:rPr>
                  <a:t> BI Intelligence, comScore, Federal Reserve Economic Data--St. Louis Fed</a:t>
                </a:r>
                <a:endParaRPr lang="en-US" sz="1800" b="0" i="1">
                  <a:solidFill>
                    <a:srgbClr val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0142783712184293"/>
              <c:y val="0.972210773778874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2200" b="0">
                <a:solidFill>
                  <a:srgbClr val="000000"/>
                </a:solidFill>
              </a:defRPr>
            </a:pPr>
            <a:endParaRPr lang="en-US"/>
          </a:p>
        </c:txPr>
        <c:crossAx val="2097481928"/>
        <c:crosses val="autoZero"/>
        <c:auto val="1"/>
        <c:lblAlgn val="ctr"/>
        <c:lblOffset val="100"/>
        <c:noMultiLvlLbl val="0"/>
      </c:catAx>
      <c:valAx>
        <c:axId val="20974819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200">
                    <a:solidFill>
                      <a:srgbClr val="000000"/>
                    </a:solidFill>
                  </a:defRPr>
                </a:pPr>
                <a:r>
                  <a:rPr lang="en-US" sz="2000">
                    <a:solidFill>
                      <a:srgbClr val="000000"/>
                    </a:solidFill>
                  </a:rPr>
                  <a:t>($millions)</a:t>
                </a:r>
              </a:p>
            </c:rich>
          </c:tx>
          <c:layout>
            <c:manualLayout>
              <c:xMode val="edge"/>
              <c:yMode val="edge"/>
              <c:x val="0.0180644928855792"/>
              <c:y val="0.460883563799605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2200" b="0">
                <a:solidFill>
                  <a:srgbClr val="000000"/>
                </a:solidFill>
              </a:defRPr>
            </a:pPr>
            <a:endParaRPr lang="en-US"/>
          </a:p>
        </c:txPr>
        <c:crossAx val="2097475944"/>
        <c:crosses val="autoZero"/>
        <c:crossBetween val="midCat"/>
      </c:valAx>
      <c:spPr>
        <a:noFill/>
      </c:spPr>
    </c:plotArea>
    <c:plotVisOnly val="1"/>
    <c:dispBlanksAs val="zero"/>
    <c:showDLblsOverMax val="0"/>
  </c:chart>
  <c:spPr>
    <a:solidFill>
      <a:schemeClr val="bg1"/>
    </a:solidFill>
    <a:ln>
      <a:solidFill>
        <a:schemeClr val="bg1">
          <a:lumMod val="85000"/>
        </a:schemeClr>
      </a:solidFill>
    </a:ln>
  </c:spPr>
  <c:printSettings>
    <c:headerFooter/>
    <c:pageMargins b="1.0" l="0.75" r="0.75" t="1.0" header="0.5" footer="0.5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4000"/>
              <a:t>Leading Retailers' Digital</a:t>
            </a:r>
            <a:r>
              <a:rPr lang="en-US" sz="4000" baseline="0"/>
              <a:t> Audience Population</a:t>
            </a:r>
          </a:p>
          <a:p>
            <a:pPr>
              <a:defRPr/>
            </a:pPr>
            <a:r>
              <a:rPr lang="en-US" sz="2400" b="0" i="1" baseline="0"/>
              <a:t>By Device</a:t>
            </a:r>
            <a:endParaRPr lang="en-US" sz="2400" b="0" i="1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RetailDigitalAudiences!$B$2</c:f>
              <c:strCache>
                <c:ptCount val="1"/>
                <c:pt idx="0">
                  <c:v>Desktop Only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RetailDigitalAudiences!$A$3:$A$12</c:f>
              <c:strCache>
                <c:ptCount val="10"/>
                <c:pt idx="0">
                  <c:v>Amazon</c:v>
                </c:pt>
                <c:pt idx="1">
                  <c:v>eBay</c:v>
                </c:pt>
                <c:pt idx="2">
                  <c:v>Wal-Mart</c:v>
                </c:pt>
                <c:pt idx="3">
                  <c:v>Apple</c:v>
                </c:pt>
                <c:pt idx="4">
                  <c:v>Target</c:v>
                </c:pt>
                <c:pt idx="5">
                  <c:v>Best Buy</c:v>
                </c:pt>
                <c:pt idx="6">
                  <c:v>The Home Depot</c:v>
                </c:pt>
                <c:pt idx="7">
                  <c:v>Ticketmaster</c:v>
                </c:pt>
                <c:pt idx="8">
                  <c:v>Etsy</c:v>
                </c:pt>
                <c:pt idx="9">
                  <c:v>Lowes</c:v>
                </c:pt>
              </c:strCache>
            </c:strRef>
          </c:cat>
          <c:val>
            <c:numRef>
              <c:f>RetailDigitalAudiences!$B$3:$B$12</c:f>
              <c:numCache>
                <c:formatCode>General</c:formatCode>
                <c:ptCount val="10"/>
                <c:pt idx="0">
                  <c:v>64.2</c:v>
                </c:pt>
                <c:pt idx="1">
                  <c:v>45.9</c:v>
                </c:pt>
                <c:pt idx="2">
                  <c:v>30.1</c:v>
                </c:pt>
                <c:pt idx="3">
                  <c:v>37.0</c:v>
                </c:pt>
                <c:pt idx="4">
                  <c:v>19.2</c:v>
                </c:pt>
                <c:pt idx="5">
                  <c:v>15.4</c:v>
                </c:pt>
                <c:pt idx="6">
                  <c:v>14.4</c:v>
                </c:pt>
                <c:pt idx="7">
                  <c:v>11.9</c:v>
                </c:pt>
                <c:pt idx="8">
                  <c:v>10.8</c:v>
                </c:pt>
                <c:pt idx="9">
                  <c:v>10.8</c:v>
                </c:pt>
              </c:numCache>
            </c:numRef>
          </c:val>
        </c:ser>
        <c:ser>
          <c:idx val="1"/>
          <c:order val="1"/>
          <c:tx>
            <c:strRef>
              <c:f>RetailDigitalAudiences!$C$2</c:f>
              <c:strCache>
                <c:ptCount val="1"/>
                <c:pt idx="0">
                  <c:v>Desktop + Mobile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RetailDigitalAudiences!$A$3:$A$12</c:f>
              <c:strCache>
                <c:ptCount val="10"/>
                <c:pt idx="0">
                  <c:v>Amazon</c:v>
                </c:pt>
                <c:pt idx="1">
                  <c:v>eBay</c:v>
                </c:pt>
                <c:pt idx="2">
                  <c:v>Wal-Mart</c:v>
                </c:pt>
                <c:pt idx="3">
                  <c:v>Apple</c:v>
                </c:pt>
                <c:pt idx="4">
                  <c:v>Target</c:v>
                </c:pt>
                <c:pt idx="5">
                  <c:v>Best Buy</c:v>
                </c:pt>
                <c:pt idx="6">
                  <c:v>The Home Depot</c:v>
                </c:pt>
                <c:pt idx="7">
                  <c:v>Ticketmaster</c:v>
                </c:pt>
                <c:pt idx="8">
                  <c:v>Etsy</c:v>
                </c:pt>
                <c:pt idx="9">
                  <c:v>Lowes</c:v>
                </c:pt>
              </c:strCache>
            </c:strRef>
          </c:cat>
          <c:val>
            <c:numRef>
              <c:f>RetailDigitalAudiences!$C$3:$C$12</c:f>
              <c:numCache>
                <c:formatCode>General</c:formatCode>
                <c:ptCount val="10"/>
                <c:pt idx="0">
                  <c:v>42.2</c:v>
                </c:pt>
                <c:pt idx="1">
                  <c:v>23.4</c:v>
                </c:pt>
                <c:pt idx="2">
                  <c:v>9.8</c:v>
                </c:pt>
                <c:pt idx="3">
                  <c:v>6.6</c:v>
                </c:pt>
                <c:pt idx="4">
                  <c:v>3.8</c:v>
                </c:pt>
                <c:pt idx="5">
                  <c:v>2.9</c:v>
                </c:pt>
                <c:pt idx="6">
                  <c:v>2.7</c:v>
                </c:pt>
                <c:pt idx="7">
                  <c:v>2.1</c:v>
                </c:pt>
                <c:pt idx="8">
                  <c:v>2.2</c:v>
                </c:pt>
                <c:pt idx="9">
                  <c:v>1.5</c:v>
                </c:pt>
              </c:numCache>
            </c:numRef>
          </c:val>
        </c:ser>
        <c:ser>
          <c:idx val="2"/>
          <c:order val="2"/>
          <c:tx>
            <c:strRef>
              <c:f>RetailDigitalAudiences!$D$2</c:f>
              <c:strCache>
                <c:ptCount val="1"/>
                <c:pt idx="0">
                  <c:v>Mobile Only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RetailDigitalAudiences!$A$3:$A$12</c:f>
              <c:strCache>
                <c:ptCount val="10"/>
                <c:pt idx="0">
                  <c:v>Amazon</c:v>
                </c:pt>
                <c:pt idx="1">
                  <c:v>eBay</c:v>
                </c:pt>
                <c:pt idx="2">
                  <c:v>Wal-Mart</c:v>
                </c:pt>
                <c:pt idx="3">
                  <c:v>Apple</c:v>
                </c:pt>
                <c:pt idx="4">
                  <c:v>Target</c:v>
                </c:pt>
                <c:pt idx="5">
                  <c:v>Best Buy</c:v>
                </c:pt>
                <c:pt idx="6">
                  <c:v>The Home Depot</c:v>
                </c:pt>
                <c:pt idx="7">
                  <c:v>Ticketmaster</c:v>
                </c:pt>
                <c:pt idx="8">
                  <c:v>Etsy</c:v>
                </c:pt>
                <c:pt idx="9">
                  <c:v>Lowes</c:v>
                </c:pt>
              </c:strCache>
            </c:strRef>
          </c:cat>
          <c:val>
            <c:numRef>
              <c:f>RetailDigitalAudiences!$D$3:$D$12</c:f>
              <c:numCache>
                <c:formatCode>General</c:formatCode>
                <c:ptCount val="10"/>
                <c:pt idx="0">
                  <c:v>42.9</c:v>
                </c:pt>
                <c:pt idx="1">
                  <c:v>21.9</c:v>
                </c:pt>
                <c:pt idx="2">
                  <c:v>19.3</c:v>
                </c:pt>
                <c:pt idx="3">
                  <c:v>11.4</c:v>
                </c:pt>
                <c:pt idx="4">
                  <c:v>13.7</c:v>
                </c:pt>
                <c:pt idx="5">
                  <c:v>9.7</c:v>
                </c:pt>
                <c:pt idx="6">
                  <c:v>7.4</c:v>
                </c:pt>
                <c:pt idx="7">
                  <c:v>9.0</c:v>
                </c:pt>
                <c:pt idx="8">
                  <c:v>6.2</c:v>
                </c:pt>
                <c:pt idx="9">
                  <c:v>5.5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7528136"/>
        <c:axId val="2097533656"/>
      </c:barChart>
      <c:catAx>
        <c:axId val="2097528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 i="1"/>
                </a:pPr>
                <a:r>
                  <a:rPr lang="en-US" sz="1800" b="0" i="1"/>
                  <a:t>Source: comScore</a:t>
                </a:r>
              </a:p>
            </c:rich>
          </c:tx>
          <c:layout>
            <c:manualLayout>
              <c:xMode val="edge"/>
              <c:yMode val="edge"/>
              <c:x val="0.000164772368725466"/>
              <c:y val="0.981988329249818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7533656"/>
        <c:crosses val="autoZero"/>
        <c:auto val="1"/>
        <c:lblAlgn val="ctr"/>
        <c:lblOffset val="100"/>
        <c:noMultiLvlLbl val="0"/>
      </c:catAx>
      <c:valAx>
        <c:axId val="20975336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/>
                  <a:t>(Millions)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75281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6142994369693"/>
          <c:y val="0.90954177343034"/>
          <c:w val="0.445932997244445"/>
          <c:h val="0.0382016945031515"/>
        </c:manualLayout>
      </c:layout>
      <c:overlay val="0"/>
      <c:txPr>
        <a:bodyPr/>
        <a:lstStyle/>
        <a:p>
          <a:pPr>
            <a:defRPr sz="2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4000"/>
              <a:t>PayPal Transaction</a:t>
            </a:r>
            <a:r>
              <a:rPr lang="en-US" sz="4000" baseline="0"/>
              <a:t> </a:t>
            </a:r>
            <a:r>
              <a:rPr lang="en-US" sz="4000"/>
              <a:t>Volume</a:t>
            </a:r>
          </a:p>
          <a:p>
            <a:pPr>
              <a:defRPr/>
            </a:pPr>
            <a:r>
              <a:rPr lang="en-US" sz="2000" b="0" i="1"/>
              <a:t>(Including Braintree 2013)</a:t>
            </a:r>
          </a:p>
        </c:rich>
      </c:tx>
      <c:layout>
        <c:manualLayout>
          <c:xMode val="edge"/>
          <c:yMode val="edge"/>
          <c:x val="0.312061687970215"/>
          <c:y val="0.015439429928741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0387699934944"/>
          <c:y val="0.124465558194774"/>
          <c:w val="0.879983231262759"/>
          <c:h val="0.738606617165728"/>
        </c:manualLayout>
      </c:layout>
      <c:areaChart>
        <c:grouping val="stacked"/>
        <c:varyColors val="0"/>
        <c:ser>
          <c:idx val="2"/>
          <c:order val="0"/>
          <c:tx>
            <c:strRef>
              <c:f>'PayPal Payments (2)'!$A$7</c:f>
              <c:strCache>
                <c:ptCount val="1"/>
                <c:pt idx="0">
                  <c:v>PayPal Digital </c:v>
                </c:pt>
              </c:strCache>
            </c:strRef>
          </c:tx>
          <c:spPr>
            <a:solidFill>
              <a:schemeClr val="accent2"/>
            </a:solidFill>
          </c:spPr>
          <c:dLbls>
            <c:dLbl>
              <c:idx val="0"/>
              <c:layout>
                <c:manualLayout>
                  <c:x val="0.0280979827089337"/>
                  <c:y val="-0.232779097387173"/>
                </c:manualLayout>
              </c:layout>
              <c:spPr/>
              <c:txPr>
                <a:bodyPr/>
                <a:lstStyle/>
                <a:p>
                  <a:pPr>
                    <a:defRPr sz="2000">
                      <a:solidFill>
                        <a:schemeClr val="accent2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'PayPal Payments (2)'!$B$2:$G$2</c:f>
              <c:numCache>
                <c:formatCode>General</c:formatCode>
                <c:ptCount val="6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</c:numCache>
            </c:numRef>
          </c:cat>
          <c:val>
            <c:numRef>
              <c:f>'PayPal Payments (2)'!$B$7:$G$7</c:f>
              <c:numCache>
                <c:formatCode>"$"#,##0</c:formatCode>
                <c:ptCount val="6"/>
                <c:pt idx="0">
                  <c:v>60122.0</c:v>
                </c:pt>
                <c:pt idx="1">
                  <c:v>71475.0</c:v>
                </c:pt>
                <c:pt idx="2">
                  <c:v>91355.0</c:v>
                </c:pt>
                <c:pt idx="3">
                  <c:v>114758.0</c:v>
                </c:pt>
                <c:pt idx="4">
                  <c:v>130938.0</c:v>
                </c:pt>
                <c:pt idx="5">
                  <c:v>152663.0</c:v>
                </c:pt>
              </c:numCache>
            </c:numRef>
          </c:val>
        </c:ser>
        <c:ser>
          <c:idx val="1"/>
          <c:order val="1"/>
          <c:tx>
            <c:strRef>
              <c:f>'PayPal Payments (2)'!$A$6</c:f>
              <c:strCache>
                <c:ptCount val="1"/>
                <c:pt idx="0">
                  <c:v>PayPal Mobile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dLbl>
              <c:idx val="0"/>
              <c:layout>
                <c:manualLayout>
                  <c:x val="0.159942363112392"/>
                  <c:y val="-0.160332635083322"/>
                </c:manualLayout>
              </c:layout>
              <c:tx>
                <c:rich>
                  <a:bodyPr/>
                  <a:lstStyle/>
                  <a:p>
                    <a:pPr>
                      <a:defRPr sz="2000">
                        <a:solidFill>
                          <a:srgbClr val="800000"/>
                        </a:solidFill>
                      </a:defRPr>
                    </a:pPr>
                    <a:r>
                      <a:rPr lang="en-US">
                        <a:solidFill>
                          <a:srgbClr val="800000"/>
                        </a:solidFill>
                      </a:rPr>
                      <a:t>PayPal Mobile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'PayPal Payments (2)'!$B$2:$G$2</c:f>
              <c:numCache>
                <c:formatCode>General</c:formatCode>
                <c:ptCount val="6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</c:numCache>
            </c:numRef>
          </c:cat>
          <c:val>
            <c:numRef>
              <c:f>'PayPal Payments (2)'!$B$6:$G$6</c:f>
              <c:numCache>
                <c:formatCode>"$"#,##0</c:formatCode>
                <c:ptCount val="6"/>
                <c:pt idx="0">
                  <c:v>25.0</c:v>
                </c:pt>
                <c:pt idx="1">
                  <c:v>141.0</c:v>
                </c:pt>
                <c:pt idx="2">
                  <c:v>600.0</c:v>
                </c:pt>
                <c:pt idx="3">
                  <c:v>4000.0</c:v>
                </c:pt>
                <c:pt idx="4">
                  <c:v>14000.0</c:v>
                </c:pt>
                <c:pt idx="5" formatCode="_(&quot;$&quot;* #,##0_);_(&quot;$&quot;* \(#,##0\);_(&quot;$&quot;* &quot;-&quot;??_);_(@_)">
                  <c:v>27000.0</c:v>
                </c:pt>
              </c:numCache>
            </c:numRef>
          </c:val>
        </c:ser>
        <c:ser>
          <c:idx val="3"/>
          <c:order val="2"/>
          <c:tx>
            <c:strRef>
              <c:f>'PayPal Payments (2)'!$A$4</c:f>
              <c:strCache>
                <c:ptCount val="1"/>
                <c:pt idx="0">
                  <c:v>Braintree Digital*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0.253602305475504"/>
                  <c:y val="-0.239904988123515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solidFill>
                      <a:schemeClr val="accent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'PayPal Payments (2)'!$B$2:$G$2</c:f>
              <c:numCache>
                <c:formatCode>General</c:formatCode>
                <c:ptCount val="6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</c:numCache>
            </c:numRef>
          </c:cat>
          <c:val>
            <c:numRef>
              <c:f>'PayPal Payments (2)'!$B$4:$G$4</c:f>
              <c:numCache>
                <c:formatCode>General</c:formatCode>
                <c:ptCount val="6"/>
                <c:pt idx="5" formatCode="&quot;$&quot;#,##0_);[Red]\(&quot;$&quot;#,##0\)">
                  <c:v>9000.0</c:v>
                </c:pt>
              </c:numCache>
            </c:numRef>
          </c:val>
        </c:ser>
        <c:ser>
          <c:idx val="0"/>
          <c:order val="3"/>
          <c:tx>
            <c:strRef>
              <c:f>'PayPal Payments (2)'!$A$3</c:f>
              <c:strCache>
                <c:ptCount val="1"/>
                <c:pt idx="0">
                  <c:v>Braintree Mobile*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0.336455331412104"/>
                  <c:y val="-0.308788598574822"/>
                </c:manualLayout>
              </c:layout>
              <c:spPr/>
              <c:txPr>
                <a:bodyPr/>
                <a:lstStyle/>
                <a:p>
                  <a:pPr>
                    <a:defRPr sz="2000">
                      <a:solidFill>
                        <a:schemeClr val="tx2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tx2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'PayPal Payments (2)'!$B$2:$G$2</c:f>
              <c:numCache>
                <c:formatCode>General</c:formatCode>
                <c:ptCount val="6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</c:numCache>
            </c:numRef>
          </c:cat>
          <c:val>
            <c:numRef>
              <c:f>'PayPal Payments (2)'!$B$3:$G$3</c:f>
              <c:numCache>
                <c:formatCode>General</c:formatCode>
                <c:ptCount val="6"/>
                <c:pt idx="5" formatCode="&quot;$&quot;#,##0_);[Red]\(&quot;$&quot;#,##0\)">
                  <c:v>4000.0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7618952"/>
        <c:axId val="2097625288"/>
      </c:areaChart>
      <c:catAx>
        <c:axId val="2097618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800" b="0" i="1"/>
                </a:pPr>
                <a:r>
                  <a:rPr lang="en-US" sz="1800" b="0" i="0"/>
                  <a:t>*PayPal counted</a:t>
                </a:r>
                <a:r>
                  <a:rPr lang="en-US" sz="1800" b="0" i="0" baseline="0"/>
                  <a:t> a small portion of Braintree's transaction volume as its own in the last 12 days of Q4 2013. </a:t>
                </a:r>
                <a:endParaRPr lang="en-US" sz="1800" b="0" i="0"/>
              </a:p>
              <a:p>
                <a:pPr algn="l">
                  <a:defRPr sz="1800" b="0" i="1"/>
                </a:pPr>
                <a:r>
                  <a:rPr lang="en-US" sz="1800" b="0" i="1"/>
                  <a:t>Source: PayPal</a:t>
                </a:r>
              </a:p>
            </c:rich>
          </c:tx>
          <c:layout>
            <c:manualLayout>
              <c:xMode val="edge"/>
              <c:yMode val="edge"/>
              <c:x val="0.000764337550754873"/>
              <c:y val="0.94513064133016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7625288"/>
        <c:crosses val="autoZero"/>
        <c:auto val="1"/>
        <c:lblAlgn val="ctr"/>
        <c:lblOffset val="100"/>
        <c:noMultiLvlLbl val="0"/>
      </c:catAx>
      <c:valAx>
        <c:axId val="20976252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2000"/>
                  <a:t>U.S. Dollars In</a:t>
                </a:r>
                <a:r>
                  <a:rPr lang="en-US" sz="2000" baseline="0"/>
                  <a:t> Billions</a:t>
                </a:r>
                <a:endParaRPr lang="en-US" sz="2000"/>
              </a:p>
            </c:rich>
          </c:tx>
          <c:layout>
            <c:manualLayout>
              <c:xMode val="edge"/>
              <c:yMode val="edge"/>
              <c:x val="0.00356286593983444"/>
              <c:y val="0.366337460489648"/>
            </c:manualLayout>
          </c:layout>
          <c:overlay val="0"/>
        </c:title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7618952"/>
        <c:crosses val="autoZero"/>
        <c:crossBetween val="midCat"/>
        <c:dispUnits>
          <c:builtInUnit val="thousands"/>
        </c:dispUnits>
      </c:valAx>
    </c:plotArea>
    <c:plotVisOnly val="1"/>
    <c:dispBlanksAs val="zero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 sz="4000">
                <a:solidFill>
                  <a:srgbClr val="000000"/>
                </a:solidFill>
              </a:rPr>
              <a:t>PayPal Mobile Transaction</a:t>
            </a:r>
            <a:r>
              <a:rPr lang="en-US" sz="4000" baseline="0">
                <a:solidFill>
                  <a:srgbClr val="000000"/>
                </a:solidFill>
              </a:rPr>
              <a:t> </a:t>
            </a:r>
            <a:r>
              <a:rPr lang="en-US" sz="4000">
                <a:solidFill>
                  <a:srgbClr val="000000"/>
                </a:solidFill>
              </a:rPr>
              <a:t>Volume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1" baseline="0">
                <a:solidFill>
                  <a:srgbClr val="000000"/>
                </a:solidFill>
                <a:effectLst/>
              </a:rPr>
              <a:t>(Including Braintree 2013)</a:t>
            </a:r>
            <a:endParaRPr lang="en-US" sz="4000">
              <a:solidFill>
                <a:srgbClr val="000000"/>
              </a:solidFill>
              <a:effectLst/>
            </a:endParaRPr>
          </a:p>
        </c:rich>
      </c:tx>
      <c:layout>
        <c:manualLayout>
          <c:xMode val="edge"/>
          <c:yMode val="edge"/>
          <c:x val="0.259523842912334"/>
          <c:y val="0.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48342109507015"/>
          <c:y val="0.124465558194774"/>
          <c:w val="0.875536772284586"/>
          <c:h val="0.764734883198982"/>
        </c:manualLayout>
      </c:layout>
      <c:areaChart>
        <c:grouping val="stacked"/>
        <c:varyColors val="0"/>
        <c:ser>
          <c:idx val="1"/>
          <c:order val="0"/>
          <c:tx>
            <c:strRef>
              <c:f>'PayPal Payments (2)'!$A$6</c:f>
              <c:strCache>
                <c:ptCount val="1"/>
                <c:pt idx="0">
                  <c:v>PayPal Mobile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dLbl>
              <c:idx val="0"/>
              <c:layout>
                <c:manualLayout>
                  <c:x val="0.182546749777382"/>
                  <c:y val="-0.328978715843417"/>
                </c:manualLayout>
              </c:layout>
              <c:tx>
                <c:rich>
                  <a:bodyPr/>
                  <a:lstStyle/>
                  <a:p>
                    <a:pPr>
                      <a:defRPr sz="2000" b="0">
                        <a:solidFill>
                          <a:srgbClr val="000000"/>
                        </a:solidFill>
                      </a:defRPr>
                    </a:pPr>
                    <a:r>
                      <a:rPr lang="en-US" b="0">
                        <a:solidFill>
                          <a:srgbClr val="000000"/>
                        </a:solidFill>
                      </a:rPr>
                      <a:t>PayPal Mobile </a:t>
                    </a:r>
                    <a:endParaRPr lang="en-US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'PayPal Payments (2)'!$B$2:$G$2</c:f>
              <c:numCache>
                <c:formatCode>General</c:formatCode>
                <c:ptCount val="6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</c:numCache>
            </c:numRef>
          </c:cat>
          <c:val>
            <c:numRef>
              <c:f>'PayPal Payments (2)'!$B$6:$G$6</c:f>
              <c:numCache>
                <c:formatCode>"$"#,##0</c:formatCode>
                <c:ptCount val="6"/>
                <c:pt idx="0">
                  <c:v>25.0</c:v>
                </c:pt>
                <c:pt idx="1">
                  <c:v>141.0</c:v>
                </c:pt>
                <c:pt idx="2">
                  <c:v>600.0</c:v>
                </c:pt>
                <c:pt idx="3">
                  <c:v>4000.0</c:v>
                </c:pt>
                <c:pt idx="4">
                  <c:v>14000.0</c:v>
                </c:pt>
                <c:pt idx="5" formatCode="_(&quot;$&quot;* #,##0_);_(&quot;$&quot;* \(#,##0\);_(&quot;$&quot;* &quot;-&quot;??_);_(@_)">
                  <c:v>27000.0</c:v>
                </c:pt>
              </c:numCache>
            </c:numRef>
          </c:val>
        </c:ser>
        <c:ser>
          <c:idx val="0"/>
          <c:order val="1"/>
          <c:tx>
            <c:strRef>
              <c:f>'PayPal Payments (2)'!$A$3</c:f>
              <c:strCache>
                <c:ptCount val="1"/>
                <c:pt idx="0">
                  <c:v>Braintree Mobile*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0.288512911843277"/>
                  <c:y val="-0.532066508313539"/>
                </c:manualLayout>
              </c:layout>
              <c:tx>
                <c:rich>
                  <a:bodyPr/>
                  <a:lstStyle/>
                  <a:p>
                    <a:pPr>
                      <a:defRPr sz="2000">
                        <a:solidFill>
                          <a:srgbClr val="000000"/>
                        </a:solidFill>
                      </a:defRPr>
                    </a:pPr>
                    <a:r>
                      <a:rPr lang="en-US" sz="2000">
                        <a:solidFill>
                          <a:srgbClr val="000000"/>
                        </a:solidFill>
                      </a:rPr>
                      <a:t>Braintree Mobile*</a:t>
                    </a:r>
                    <a:endParaRPr lang="en-US" sz="2000">
                      <a:solidFill>
                        <a:schemeClr val="tx2"/>
                      </a:solidFill>
                    </a:endParaRPr>
                  </a:p>
                </c:rich>
              </c:tx>
              <c:spPr>
                <a:ln>
                  <a:noFill/>
                </a:ln>
              </c:spPr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ln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'PayPal Payments (2)'!$B$2:$G$2</c:f>
              <c:numCache>
                <c:formatCode>General</c:formatCode>
                <c:ptCount val="6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</c:numCache>
            </c:numRef>
          </c:cat>
          <c:val>
            <c:numRef>
              <c:f>'PayPal Payments (2)'!$B$3:$G$3</c:f>
              <c:numCache>
                <c:formatCode>General</c:formatCode>
                <c:ptCount val="6"/>
                <c:pt idx="5" formatCode="&quot;$&quot;#,##0_);[Red]\(&quot;$&quot;#,##0\)">
                  <c:v>4000.0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7691736"/>
        <c:axId val="2053092968"/>
      </c:areaChart>
      <c:catAx>
        <c:axId val="2097691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indent="0" algn="l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800" b="0" i="1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solidFill>
                      <a:srgbClr val="000000"/>
                    </a:solidFill>
                    <a:effectLst/>
                  </a:rPr>
                  <a:t>*PayPal counted a small portion of Braintree's transaction volume as its own in the last 12 days of Q4 2013. </a:t>
                </a:r>
                <a:endParaRPr lang="en-US" sz="1800" b="0" i="1">
                  <a:solidFill>
                    <a:srgbClr val="000000"/>
                  </a:solidFill>
                </a:endParaRPr>
              </a:p>
              <a:p>
                <a:pPr marL="0" marR="0" indent="0" algn="l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800" b="0" i="1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1">
                    <a:solidFill>
                      <a:srgbClr val="000000"/>
                    </a:solidFill>
                  </a:rPr>
                  <a:t>Source: PayPal</a:t>
                </a:r>
              </a:p>
            </c:rich>
          </c:tx>
          <c:layout>
            <c:manualLayout>
              <c:xMode val="edge"/>
              <c:yMode val="edge"/>
              <c:x val="0.000764333443181579"/>
              <c:y val="0.94513064133016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53092968"/>
        <c:crosses val="autoZero"/>
        <c:auto val="1"/>
        <c:lblAlgn val="ctr"/>
        <c:lblOffset val="100"/>
        <c:noMultiLvlLbl val="0"/>
      </c:catAx>
      <c:valAx>
        <c:axId val="20530929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r>
                  <a:rPr lang="en-US" sz="2000">
                    <a:solidFill>
                      <a:srgbClr val="000000"/>
                    </a:solidFill>
                  </a:rPr>
                  <a:t>U.S. Dollars In</a:t>
                </a:r>
                <a:r>
                  <a:rPr lang="en-US" sz="2000" baseline="0">
                    <a:solidFill>
                      <a:srgbClr val="000000"/>
                    </a:solidFill>
                  </a:rPr>
                  <a:t> Billions</a:t>
                </a:r>
                <a:endParaRPr lang="en-US" sz="2000">
                  <a:solidFill>
                    <a:srgbClr val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00890471950133571"/>
              <c:y val="0.404342211083472"/>
            </c:manualLayout>
          </c:layout>
          <c:overlay val="0"/>
        </c:title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7691736"/>
        <c:crosses val="autoZero"/>
        <c:crossBetween val="midCat"/>
        <c:dispUnits>
          <c:builtInUnit val="thousands"/>
        </c:dispUnits>
      </c:valAx>
      <c:spPr>
        <a:noFill/>
      </c:spPr>
    </c:plotArea>
    <c:plotVisOnly val="1"/>
    <c:dispBlanksAs val="zero"/>
    <c:showDLblsOverMax val="0"/>
  </c:chart>
  <c:spPr>
    <a:solidFill>
      <a:srgbClr val="FFFFFF"/>
    </a:solidFill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4000"/>
              <a:t>Starbucks's</a:t>
            </a:r>
            <a:r>
              <a:rPr lang="en-US" sz="4000" baseline="0"/>
              <a:t> Number Of Mobile Payments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1" baseline="0">
                <a:effectLst/>
              </a:rPr>
              <a:t>(United States)</a:t>
            </a:r>
            <a:endParaRPr lang="en-US" sz="4000">
              <a:effectLst/>
            </a:endParaRPr>
          </a:p>
        </c:rich>
      </c:tx>
      <c:layout>
        <c:manualLayout>
          <c:xMode val="edge"/>
          <c:yMode val="edge"/>
          <c:x val="0.196726941584225"/>
          <c:y val="0.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887685914260717"/>
          <c:y val="0.144824311490978"/>
          <c:w val="0.893314447472912"/>
          <c:h val="0.74792662135181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" sourceLinked="0"/>
            <c:txPr>
              <a:bodyPr/>
              <a:lstStyle/>
              <a:p>
                <a:pPr>
                  <a:defRPr sz="2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Starbucks!$B$2:$F$2</c:f>
              <c:strCache>
                <c:ptCount val="5"/>
                <c:pt idx="0">
                  <c:v>Q4 2012</c:v>
                </c:pt>
                <c:pt idx="1">
                  <c:v>Q1 2013</c:v>
                </c:pt>
                <c:pt idx="2">
                  <c:v>Q2 2013</c:v>
                </c:pt>
                <c:pt idx="3">
                  <c:v>Q3 2013</c:v>
                </c:pt>
                <c:pt idx="4">
                  <c:v>Q4 2014</c:v>
                </c:pt>
              </c:strCache>
            </c:strRef>
          </c:cat>
          <c:val>
            <c:numRef>
              <c:f>Starbucks!$B$9:$F$9</c:f>
              <c:numCache>
                <c:formatCode>_(* #,##0_);_(* \(#,##0\);_(* "-"??_);_(@_)</c:formatCode>
                <c:ptCount val="5"/>
                <c:pt idx="0">
                  <c:v>2.52E7</c:v>
                </c:pt>
                <c:pt idx="1">
                  <c:v>3.6E7</c:v>
                </c:pt>
                <c:pt idx="2">
                  <c:v>4.2E7</c:v>
                </c:pt>
                <c:pt idx="3">
                  <c:v>4.8E7</c:v>
                </c:pt>
                <c:pt idx="4">
                  <c:v>6.0E7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8784856"/>
        <c:axId val="2068757528"/>
      </c:barChart>
      <c:catAx>
        <c:axId val="2068784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0" i="1" baseline="0">
                    <a:effectLst/>
                  </a:rPr>
                  <a:t>Source: Starbucks's Statements, BI Intelligence Estimates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0.000341894362563652"/>
              <c:y val="0.97073434730915"/>
            </c:manualLayout>
          </c:layout>
          <c:overlay val="0"/>
        </c:title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68757528"/>
        <c:crosses val="autoZero"/>
        <c:auto val="1"/>
        <c:lblAlgn val="ctr"/>
        <c:lblOffset val="100"/>
        <c:noMultiLvlLbl val="0"/>
      </c:catAx>
      <c:valAx>
        <c:axId val="2068757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2000"/>
                  <a:t>Millions Of Mobile Payments </a:t>
                </a:r>
              </a:p>
            </c:rich>
          </c:tx>
          <c:layout>
            <c:manualLayout>
              <c:xMode val="edge"/>
              <c:yMode val="edge"/>
              <c:x val="0.018536605199991"/>
              <c:y val="0.36245532075584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68784856"/>
        <c:crosses val="autoZero"/>
        <c:crossBetween val="between"/>
        <c:dispUnits>
          <c:builtInUnit val="millions"/>
        </c:dispUnits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4000"/>
            </a:pPr>
            <a:r>
              <a:rPr lang="en-US" sz="4000"/>
              <a:t>Starbucks's</a:t>
            </a:r>
            <a:r>
              <a:rPr lang="en-US" sz="4000" baseline="0"/>
              <a:t> Mobile Payments Volume</a:t>
            </a:r>
          </a:p>
          <a:p>
            <a:pPr>
              <a:defRPr sz="4000"/>
            </a:pPr>
            <a:r>
              <a:rPr lang="en-US" sz="2000" b="0" i="1" baseline="0"/>
              <a:t>(United States)</a:t>
            </a:r>
            <a:endParaRPr lang="en-US" sz="2000" b="0" i="1"/>
          </a:p>
        </c:rich>
      </c:tx>
      <c:layout>
        <c:manualLayout>
          <c:xMode val="edge"/>
          <c:yMode val="edge"/>
          <c:x val="0.210357779796756"/>
          <c:y val="0.0012212949876991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855577147407856"/>
          <c:y val="0.148385565052232"/>
          <c:w val="0.884387618614981"/>
          <c:h val="0.739617029708893"/>
        </c:manualLayout>
      </c:layout>
      <c:lineChart>
        <c:grouping val="standard"/>
        <c:varyColors val="0"/>
        <c:ser>
          <c:idx val="0"/>
          <c:order val="0"/>
          <c:spPr>
            <a:ln w="38100" cmpd="sng"/>
          </c:spPr>
          <c:marker>
            <c:spPr>
              <a:ln w="38100" cmpd="sng"/>
            </c:spPr>
          </c:marker>
          <c:dLbls>
            <c:txPr>
              <a:bodyPr/>
              <a:lstStyle/>
              <a:p>
                <a:pPr>
                  <a:defRPr sz="20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Starbucks!$B$2:$F$2</c:f>
              <c:strCache>
                <c:ptCount val="5"/>
                <c:pt idx="0">
                  <c:v>Q4 2012</c:v>
                </c:pt>
                <c:pt idx="1">
                  <c:v>Q1 2013</c:v>
                </c:pt>
                <c:pt idx="2">
                  <c:v>Q2 2013</c:v>
                </c:pt>
                <c:pt idx="3">
                  <c:v>Q3 2013</c:v>
                </c:pt>
                <c:pt idx="4">
                  <c:v>Q4 2014</c:v>
                </c:pt>
              </c:strCache>
            </c:strRef>
          </c:cat>
          <c:val>
            <c:numRef>
              <c:f>Starbucks!$B$7:$F$7</c:f>
              <c:numCache>
                <c:formatCode>"$"#,##0</c:formatCode>
                <c:ptCount val="5"/>
                <c:pt idx="0">
                  <c:v>1.44648E8</c:v>
                </c:pt>
                <c:pt idx="1">
                  <c:v>2.0664E8</c:v>
                </c:pt>
                <c:pt idx="2" formatCode="_([$$-409]* #,##0_);_([$$-409]* \(#,##0\);_([$$-409]* &quot;-&quot;_);_(@_)">
                  <c:v>2.44332E8</c:v>
                </c:pt>
                <c:pt idx="3" formatCode="_([$$-409]* #,##0_);_([$$-409]* \(#,##0\);_([$$-409]* &quot;-&quot;_);_(@_)">
                  <c:v>2.7211305E8</c:v>
                </c:pt>
                <c:pt idx="4">
                  <c:v>3.402E8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1768"/>
        <c:axId val="2096127592"/>
      </c:lineChart>
      <c:catAx>
        <c:axId val="2096121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 b="0" i="1"/>
                  <a:t>Source: Starbucks's</a:t>
                </a:r>
                <a:r>
                  <a:rPr lang="en-US" sz="2000" b="0" i="1" baseline="0"/>
                  <a:t> Statements, BI Intelligence Estimates</a:t>
                </a:r>
                <a:endParaRPr lang="en-US" sz="2000" b="0" i="1"/>
              </a:p>
            </c:rich>
          </c:tx>
          <c:layout>
            <c:manualLayout>
              <c:xMode val="edge"/>
              <c:yMode val="edge"/>
              <c:x val="0.000228677344819077"/>
              <c:y val="0.96832592288657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6127592"/>
        <c:crosses val="autoZero"/>
        <c:auto val="1"/>
        <c:lblAlgn val="ctr"/>
        <c:lblOffset val="100"/>
        <c:noMultiLvlLbl val="0"/>
      </c:catAx>
      <c:valAx>
        <c:axId val="2096127592"/>
        <c:scaling>
          <c:orientation val="minMax"/>
        </c:scaling>
        <c:delete val="0"/>
        <c:axPos val="l"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612176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00089031339031339"/>
                <c:y val="0.331196581196581"/>
              </c:manualLayout>
            </c:layout>
            <c:tx>
              <c:rich>
                <a:bodyPr/>
                <a:lstStyle/>
                <a:p>
                  <a:pPr>
                    <a:defRPr sz="2000"/>
                  </a:pPr>
                  <a:r>
                    <a:rPr lang="en-US" sz="2000"/>
                    <a:t>Millions Of</a:t>
                  </a:r>
                  <a:r>
                    <a:rPr lang="en-US" sz="2000" baseline="0"/>
                    <a:t> U.S. Dollars</a:t>
                  </a:r>
                  <a:endParaRPr lang="en-US" sz="2000"/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 paperSize="0" orientation="portrait" horizontalDpi="-4" verticalDpi="-4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4000"/>
              <a:t>Weekly Rides Facilitated By </a:t>
            </a:r>
            <a:r>
              <a:rPr lang="en-US" sz="4000" baseline="0"/>
              <a:t>Car-Hailing Apps</a:t>
            </a:r>
            <a:endParaRPr lang="en-US" sz="4000"/>
          </a:p>
        </c:rich>
      </c:tx>
      <c:layout>
        <c:manualLayout>
          <c:xMode val="edge"/>
          <c:yMode val="edge"/>
          <c:x val="0.182262503645378"/>
          <c:y val="0.0094966761633428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0834272719115"/>
          <c:y val="0.130133719930308"/>
          <c:w val="0.861711406667115"/>
          <c:h val="0.705356087967636"/>
        </c:manualLayout>
      </c:layout>
      <c:lineChart>
        <c:grouping val="standard"/>
        <c:varyColors val="0"/>
        <c:ser>
          <c:idx val="0"/>
          <c:order val="0"/>
          <c:tx>
            <c:strRef>
              <c:f>Rides!$B$2</c:f>
              <c:strCache>
                <c:ptCount val="1"/>
                <c:pt idx="0">
                  <c:v>Uber</c:v>
                </c:pt>
              </c:strCache>
            </c:strRef>
          </c:tx>
          <c:marker>
            <c:symbol val="none"/>
          </c:marker>
          <c:trendline>
            <c:trendlineType val="power"/>
            <c:dispRSqr val="0"/>
            <c:dispEq val="0"/>
          </c:trendline>
          <c:cat>
            <c:numRef>
              <c:f>Rides!$A$3:$A$190</c:f>
              <c:numCache>
                <c:formatCode>m/d/yy;@</c:formatCode>
                <c:ptCount val="188"/>
                <c:pt idx="0">
                  <c:v>40330.0</c:v>
                </c:pt>
                <c:pt idx="1">
                  <c:v>40337.0</c:v>
                </c:pt>
                <c:pt idx="2">
                  <c:v>40344.0</c:v>
                </c:pt>
                <c:pt idx="3">
                  <c:v>40351.0</c:v>
                </c:pt>
                <c:pt idx="4">
                  <c:v>40358.0</c:v>
                </c:pt>
                <c:pt idx="5">
                  <c:v>40365.0</c:v>
                </c:pt>
                <c:pt idx="6">
                  <c:v>40372.0</c:v>
                </c:pt>
                <c:pt idx="7">
                  <c:v>40379.0</c:v>
                </c:pt>
                <c:pt idx="8">
                  <c:v>40386.0</c:v>
                </c:pt>
                <c:pt idx="9">
                  <c:v>40393.0</c:v>
                </c:pt>
                <c:pt idx="10">
                  <c:v>40400.0</c:v>
                </c:pt>
                <c:pt idx="11">
                  <c:v>40407.0</c:v>
                </c:pt>
                <c:pt idx="12">
                  <c:v>40414.0</c:v>
                </c:pt>
                <c:pt idx="13">
                  <c:v>40421.0</c:v>
                </c:pt>
                <c:pt idx="14">
                  <c:v>40428.0</c:v>
                </c:pt>
                <c:pt idx="15">
                  <c:v>40435.0</c:v>
                </c:pt>
                <c:pt idx="16">
                  <c:v>40442.0</c:v>
                </c:pt>
                <c:pt idx="17">
                  <c:v>40449.0</c:v>
                </c:pt>
                <c:pt idx="18">
                  <c:v>40456.0</c:v>
                </c:pt>
                <c:pt idx="19">
                  <c:v>40463.0</c:v>
                </c:pt>
                <c:pt idx="20">
                  <c:v>40470.0</c:v>
                </c:pt>
                <c:pt idx="21">
                  <c:v>40477.0</c:v>
                </c:pt>
                <c:pt idx="22">
                  <c:v>40484.0</c:v>
                </c:pt>
                <c:pt idx="23">
                  <c:v>40491.0</c:v>
                </c:pt>
                <c:pt idx="24">
                  <c:v>40498.0</c:v>
                </c:pt>
                <c:pt idx="25">
                  <c:v>40505.0</c:v>
                </c:pt>
                <c:pt idx="26">
                  <c:v>40512.0</c:v>
                </c:pt>
                <c:pt idx="27">
                  <c:v>40519.0</c:v>
                </c:pt>
                <c:pt idx="28">
                  <c:v>40526.0</c:v>
                </c:pt>
                <c:pt idx="29">
                  <c:v>40533.0</c:v>
                </c:pt>
                <c:pt idx="30">
                  <c:v>40540.0</c:v>
                </c:pt>
                <c:pt idx="31">
                  <c:v>40547.0</c:v>
                </c:pt>
                <c:pt idx="32">
                  <c:v>40554.0</c:v>
                </c:pt>
                <c:pt idx="33">
                  <c:v>40561.0</c:v>
                </c:pt>
                <c:pt idx="34">
                  <c:v>40568.0</c:v>
                </c:pt>
                <c:pt idx="35">
                  <c:v>40575.0</c:v>
                </c:pt>
                <c:pt idx="36">
                  <c:v>40582.0</c:v>
                </c:pt>
                <c:pt idx="37">
                  <c:v>40589.0</c:v>
                </c:pt>
                <c:pt idx="38">
                  <c:v>40596.0</c:v>
                </c:pt>
                <c:pt idx="39">
                  <c:v>40603.0</c:v>
                </c:pt>
                <c:pt idx="40">
                  <c:v>40610.0</c:v>
                </c:pt>
                <c:pt idx="41">
                  <c:v>40617.0</c:v>
                </c:pt>
                <c:pt idx="42">
                  <c:v>40624.0</c:v>
                </c:pt>
                <c:pt idx="43">
                  <c:v>40631.0</c:v>
                </c:pt>
                <c:pt idx="44">
                  <c:v>40638.0</c:v>
                </c:pt>
                <c:pt idx="45">
                  <c:v>40645.0</c:v>
                </c:pt>
                <c:pt idx="46">
                  <c:v>40652.0</c:v>
                </c:pt>
                <c:pt idx="47">
                  <c:v>40659.0</c:v>
                </c:pt>
                <c:pt idx="48">
                  <c:v>40666.0</c:v>
                </c:pt>
                <c:pt idx="49">
                  <c:v>40673.0</c:v>
                </c:pt>
                <c:pt idx="50">
                  <c:v>40680.0</c:v>
                </c:pt>
                <c:pt idx="51">
                  <c:v>40687.0</c:v>
                </c:pt>
                <c:pt idx="52">
                  <c:v>40694.0</c:v>
                </c:pt>
                <c:pt idx="53">
                  <c:v>40701.0</c:v>
                </c:pt>
                <c:pt idx="54">
                  <c:v>40708.0</c:v>
                </c:pt>
                <c:pt idx="55">
                  <c:v>40715.0</c:v>
                </c:pt>
                <c:pt idx="56">
                  <c:v>40722.0</c:v>
                </c:pt>
                <c:pt idx="57">
                  <c:v>40729.0</c:v>
                </c:pt>
                <c:pt idx="58">
                  <c:v>40736.0</c:v>
                </c:pt>
                <c:pt idx="59">
                  <c:v>40743.0</c:v>
                </c:pt>
                <c:pt idx="60">
                  <c:v>40750.0</c:v>
                </c:pt>
                <c:pt idx="61">
                  <c:v>40757.0</c:v>
                </c:pt>
                <c:pt idx="62">
                  <c:v>40764.0</c:v>
                </c:pt>
                <c:pt idx="63">
                  <c:v>40771.0</c:v>
                </c:pt>
                <c:pt idx="64">
                  <c:v>40778.0</c:v>
                </c:pt>
                <c:pt idx="65">
                  <c:v>40785.0</c:v>
                </c:pt>
                <c:pt idx="66">
                  <c:v>40792.0</c:v>
                </c:pt>
                <c:pt idx="67">
                  <c:v>40799.0</c:v>
                </c:pt>
                <c:pt idx="68">
                  <c:v>40806.0</c:v>
                </c:pt>
                <c:pt idx="69">
                  <c:v>40813.0</c:v>
                </c:pt>
                <c:pt idx="70">
                  <c:v>40820.0</c:v>
                </c:pt>
                <c:pt idx="71">
                  <c:v>40827.0</c:v>
                </c:pt>
                <c:pt idx="72">
                  <c:v>40834.0</c:v>
                </c:pt>
                <c:pt idx="73">
                  <c:v>40841.0</c:v>
                </c:pt>
                <c:pt idx="74">
                  <c:v>40848.0</c:v>
                </c:pt>
                <c:pt idx="75">
                  <c:v>40855.0</c:v>
                </c:pt>
                <c:pt idx="76">
                  <c:v>40862.0</c:v>
                </c:pt>
                <c:pt idx="77">
                  <c:v>40869.0</c:v>
                </c:pt>
                <c:pt idx="78">
                  <c:v>40876.0</c:v>
                </c:pt>
                <c:pt idx="79">
                  <c:v>40883.0</c:v>
                </c:pt>
                <c:pt idx="80">
                  <c:v>40890.0</c:v>
                </c:pt>
                <c:pt idx="81">
                  <c:v>40897.0</c:v>
                </c:pt>
                <c:pt idx="82">
                  <c:v>40904.0</c:v>
                </c:pt>
                <c:pt idx="83">
                  <c:v>40911.0</c:v>
                </c:pt>
                <c:pt idx="84">
                  <c:v>40918.0</c:v>
                </c:pt>
                <c:pt idx="85">
                  <c:v>40925.0</c:v>
                </c:pt>
                <c:pt idx="86">
                  <c:v>40932.0</c:v>
                </c:pt>
                <c:pt idx="87">
                  <c:v>40939.0</c:v>
                </c:pt>
                <c:pt idx="88">
                  <c:v>40946.0</c:v>
                </c:pt>
                <c:pt idx="89">
                  <c:v>40953.0</c:v>
                </c:pt>
                <c:pt idx="90">
                  <c:v>40960.0</c:v>
                </c:pt>
                <c:pt idx="91">
                  <c:v>40967.0</c:v>
                </c:pt>
                <c:pt idx="92">
                  <c:v>40974.0</c:v>
                </c:pt>
                <c:pt idx="93">
                  <c:v>40981.0</c:v>
                </c:pt>
                <c:pt idx="94">
                  <c:v>40988.0</c:v>
                </c:pt>
                <c:pt idx="95">
                  <c:v>40995.0</c:v>
                </c:pt>
                <c:pt idx="96">
                  <c:v>41002.0</c:v>
                </c:pt>
                <c:pt idx="97">
                  <c:v>41009.0</c:v>
                </c:pt>
                <c:pt idx="98">
                  <c:v>41016.0</c:v>
                </c:pt>
                <c:pt idx="99">
                  <c:v>41023.0</c:v>
                </c:pt>
                <c:pt idx="100">
                  <c:v>41030.0</c:v>
                </c:pt>
                <c:pt idx="101">
                  <c:v>41037.0</c:v>
                </c:pt>
                <c:pt idx="102">
                  <c:v>41044.0</c:v>
                </c:pt>
                <c:pt idx="103">
                  <c:v>41051.0</c:v>
                </c:pt>
                <c:pt idx="104">
                  <c:v>41058.0</c:v>
                </c:pt>
                <c:pt idx="105">
                  <c:v>41065.0</c:v>
                </c:pt>
                <c:pt idx="106">
                  <c:v>41072.0</c:v>
                </c:pt>
                <c:pt idx="107">
                  <c:v>41079.0</c:v>
                </c:pt>
                <c:pt idx="108">
                  <c:v>41086.0</c:v>
                </c:pt>
                <c:pt idx="109">
                  <c:v>41093.0</c:v>
                </c:pt>
                <c:pt idx="110">
                  <c:v>41100.0</c:v>
                </c:pt>
                <c:pt idx="111">
                  <c:v>41107.0</c:v>
                </c:pt>
                <c:pt idx="112">
                  <c:v>41114.0</c:v>
                </c:pt>
                <c:pt idx="113">
                  <c:v>41121.0</c:v>
                </c:pt>
                <c:pt idx="114">
                  <c:v>41128.0</c:v>
                </c:pt>
                <c:pt idx="115">
                  <c:v>41135.0</c:v>
                </c:pt>
                <c:pt idx="116">
                  <c:v>41142.0</c:v>
                </c:pt>
                <c:pt idx="117">
                  <c:v>41149.0</c:v>
                </c:pt>
                <c:pt idx="118">
                  <c:v>41156.0</c:v>
                </c:pt>
                <c:pt idx="119">
                  <c:v>41163.0</c:v>
                </c:pt>
                <c:pt idx="120">
                  <c:v>41170.0</c:v>
                </c:pt>
                <c:pt idx="121">
                  <c:v>41177.0</c:v>
                </c:pt>
                <c:pt idx="122">
                  <c:v>41184.0</c:v>
                </c:pt>
                <c:pt idx="123">
                  <c:v>41191.0</c:v>
                </c:pt>
                <c:pt idx="124">
                  <c:v>41198.0</c:v>
                </c:pt>
                <c:pt idx="125">
                  <c:v>41205.0</c:v>
                </c:pt>
                <c:pt idx="126">
                  <c:v>41212.0</c:v>
                </c:pt>
                <c:pt idx="127">
                  <c:v>41219.0</c:v>
                </c:pt>
                <c:pt idx="128">
                  <c:v>41226.0</c:v>
                </c:pt>
                <c:pt idx="129">
                  <c:v>41233.0</c:v>
                </c:pt>
                <c:pt idx="130">
                  <c:v>41240.0</c:v>
                </c:pt>
                <c:pt idx="131">
                  <c:v>41247.0</c:v>
                </c:pt>
                <c:pt idx="132">
                  <c:v>41254.0</c:v>
                </c:pt>
                <c:pt idx="133">
                  <c:v>41261.0</c:v>
                </c:pt>
                <c:pt idx="134">
                  <c:v>41268.0</c:v>
                </c:pt>
                <c:pt idx="135">
                  <c:v>41275.0</c:v>
                </c:pt>
                <c:pt idx="136">
                  <c:v>41282.0</c:v>
                </c:pt>
                <c:pt idx="137">
                  <c:v>41289.0</c:v>
                </c:pt>
                <c:pt idx="138">
                  <c:v>41296.0</c:v>
                </c:pt>
                <c:pt idx="139">
                  <c:v>41303.0</c:v>
                </c:pt>
                <c:pt idx="140">
                  <c:v>41310.0</c:v>
                </c:pt>
                <c:pt idx="141">
                  <c:v>41317.0</c:v>
                </c:pt>
                <c:pt idx="142">
                  <c:v>41324.0</c:v>
                </c:pt>
                <c:pt idx="143">
                  <c:v>41331.0</c:v>
                </c:pt>
                <c:pt idx="144">
                  <c:v>41338.0</c:v>
                </c:pt>
                <c:pt idx="145">
                  <c:v>41345.0</c:v>
                </c:pt>
                <c:pt idx="146">
                  <c:v>41352.0</c:v>
                </c:pt>
                <c:pt idx="147">
                  <c:v>41359.0</c:v>
                </c:pt>
                <c:pt idx="148">
                  <c:v>41366.0</c:v>
                </c:pt>
                <c:pt idx="149">
                  <c:v>41373.0</c:v>
                </c:pt>
                <c:pt idx="150">
                  <c:v>41380.0</c:v>
                </c:pt>
                <c:pt idx="151">
                  <c:v>41387.0</c:v>
                </c:pt>
                <c:pt idx="152">
                  <c:v>41394.0</c:v>
                </c:pt>
                <c:pt idx="153">
                  <c:v>41401.0</c:v>
                </c:pt>
                <c:pt idx="154">
                  <c:v>41408.0</c:v>
                </c:pt>
                <c:pt idx="155">
                  <c:v>41415.0</c:v>
                </c:pt>
                <c:pt idx="156">
                  <c:v>41422.0</c:v>
                </c:pt>
                <c:pt idx="157">
                  <c:v>41429.0</c:v>
                </c:pt>
                <c:pt idx="158">
                  <c:v>41436.0</c:v>
                </c:pt>
                <c:pt idx="159">
                  <c:v>41443.0</c:v>
                </c:pt>
                <c:pt idx="160">
                  <c:v>41450.0</c:v>
                </c:pt>
                <c:pt idx="161">
                  <c:v>41457.0</c:v>
                </c:pt>
                <c:pt idx="162">
                  <c:v>41464.0</c:v>
                </c:pt>
                <c:pt idx="163">
                  <c:v>41471.0</c:v>
                </c:pt>
                <c:pt idx="164">
                  <c:v>41478.0</c:v>
                </c:pt>
                <c:pt idx="165">
                  <c:v>41485.0</c:v>
                </c:pt>
                <c:pt idx="166">
                  <c:v>41492.0</c:v>
                </c:pt>
                <c:pt idx="167">
                  <c:v>41499.0</c:v>
                </c:pt>
                <c:pt idx="168">
                  <c:v>41506.0</c:v>
                </c:pt>
                <c:pt idx="169">
                  <c:v>41513.0</c:v>
                </c:pt>
                <c:pt idx="170">
                  <c:v>41520.0</c:v>
                </c:pt>
                <c:pt idx="171">
                  <c:v>41527.0</c:v>
                </c:pt>
                <c:pt idx="172">
                  <c:v>41534.0</c:v>
                </c:pt>
                <c:pt idx="173">
                  <c:v>41541.0</c:v>
                </c:pt>
                <c:pt idx="174">
                  <c:v>41548.0</c:v>
                </c:pt>
                <c:pt idx="175">
                  <c:v>41555.0</c:v>
                </c:pt>
                <c:pt idx="176">
                  <c:v>41562.0</c:v>
                </c:pt>
                <c:pt idx="177">
                  <c:v>41569.0</c:v>
                </c:pt>
                <c:pt idx="178">
                  <c:v>41576.0</c:v>
                </c:pt>
                <c:pt idx="179">
                  <c:v>41583.0</c:v>
                </c:pt>
                <c:pt idx="180">
                  <c:v>41590.0</c:v>
                </c:pt>
                <c:pt idx="181">
                  <c:v>41597.0</c:v>
                </c:pt>
                <c:pt idx="182">
                  <c:v>41604.0</c:v>
                </c:pt>
                <c:pt idx="183">
                  <c:v>41611.0</c:v>
                </c:pt>
                <c:pt idx="184">
                  <c:v>41618.0</c:v>
                </c:pt>
                <c:pt idx="185">
                  <c:v>41625.0</c:v>
                </c:pt>
                <c:pt idx="186">
                  <c:v>41632.0</c:v>
                </c:pt>
                <c:pt idx="187">
                  <c:v>41639.0</c:v>
                </c:pt>
              </c:numCache>
            </c:numRef>
          </c:cat>
          <c:val>
            <c:numRef>
              <c:f>Rides!$B$3:$B$190</c:f>
              <c:numCache>
                <c:formatCode>0</c:formatCode>
                <c:ptCount val="188"/>
                <c:pt idx="0">
                  <c:v>1.0</c:v>
                </c:pt>
                <c:pt idx="1">
                  <c:v>0.9997</c:v>
                </c:pt>
                <c:pt idx="2">
                  <c:v>6.144804565094101</c:v>
                </c:pt>
                <c:pt idx="3">
                  <c:v>17.77591460334901</c:v>
                </c:pt>
                <c:pt idx="4">
                  <c:v>37.76995412944012</c:v>
                </c:pt>
                <c:pt idx="5">
                  <c:v>67.76903623869281</c:v>
                </c:pt>
                <c:pt idx="6">
                  <c:v>109.2622998933499</c:v>
                </c:pt>
                <c:pt idx="7">
                  <c:v>163.6279680626893</c:v>
                </c:pt>
                <c:pt idx="8">
                  <c:v>232.1586341482229</c:v>
                </c:pt>
                <c:pt idx="9">
                  <c:v>316.0779633745688</c:v>
                </c:pt>
                <c:pt idx="10">
                  <c:v>416.5524489862433</c:v>
                </c:pt>
                <c:pt idx="11">
                  <c:v>534.7000795171055</c:v>
                </c:pt>
                <c:pt idx="12">
                  <c:v>671.5969582648162</c:v>
                </c:pt>
                <c:pt idx="13">
                  <c:v>828.2825015724725</c:v>
                </c:pt>
                <c:pt idx="14">
                  <c:v>1005.763614212949</c:v>
                </c:pt>
                <c:pt idx="15">
                  <c:v>1205.018106362176</c:v>
                </c:pt>
                <c:pt idx="16">
                  <c:v>1426.997534200272</c:v>
                </c:pt>
                <c:pt idx="17">
                  <c:v>1672.629593242498</c:v>
                </c:pt>
                <c:pt idx="18">
                  <c:v>1942.82015831719</c:v>
                </c:pt>
                <c:pt idx="19">
                  <c:v>2238.455040022807</c:v>
                </c:pt>
                <c:pt idx="20">
                  <c:v>2560.401510584968</c:v>
                </c:pt>
                <c:pt idx="21">
                  <c:v>2909.509639893853</c:v>
                </c:pt>
                <c:pt idx="22">
                  <c:v>3286.613473614973</c:v>
                </c:pt>
                <c:pt idx="23">
                  <c:v>3692.53207864687</c:v>
                </c:pt>
                <c:pt idx="24">
                  <c:v>4128.070476191816</c:v>
                </c:pt>
                <c:pt idx="25">
                  <c:v>4594.020478864918</c:v>
                </c:pt>
                <c:pt idx="26">
                  <c:v>5091.16144528368</c:v>
                </c:pt>
                <c:pt idx="27">
                  <c:v>5620.260963235781</c:v>
                </c:pt>
                <c:pt idx="28">
                  <c:v>6182.075470662464</c:v>
                </c:pt>
                <c:pt idx="29">
                  <c:v>6777.350822202756</c:v>
                </c:pt>
                <c:pt idx="30">
                  <c:v>7406.8228078377</c:v>
                </c:pt>
                <c:pt idx="31">
                  <c:v>8071.217629190913</c:v>
                </c:pt>
                <c:pt idx="32">
                  <c:v>8771.252338233331</c:v>
                </c:pt>
                <c:pt idx="33">
                  <c:v>9507.635242472726</c:v>
                </c:pt>
                <c:pt idx="34">
                  <c:v>10281.06628015205</c:v>
                </c:pt>
                <c:pt idx="35">
                  <c:v>11092.23736851462</c:v>
                </c:pt>
                <c:pt idx="36">
                  <c:v>11941.83272780266</c:v>
                </c:pt>
                <c:pt idx="37">
                  <c:v>12830.52918332198</c:v>
                </c:pt>
                <c:pt idx="38">
                  <c:v>13758.99644762434</c:v>
                </c:pt>
                <c:pt idx="39">
                  <c:v>14727.89738461595</c:v>
                </c:pt>
                <c:pt idx="40">
                  <c:v>15737.8882571935</c:v>
                </c:pt>
                <c:pt idx="41">
                  <c:v>16789.61895982993</c:v>
                </c:pt>
                <c:pt idx="42">
                  <c:v>17883.73323737625</c:v>
                </c:pt>
                <c:pt idx="43">
                  <c:v>19020.86889121251</c:v>
                </c:pt>
                <c:pt idx="44">
                  <c:v>20201.65797376118</c:v>
                </c:pt>
                <c:pt idx="45">
                  <c:v>21426.72697227504</c:v>
                </c:pt>
                <c:pt idx="46">
                  <c:v>22696.69698272053</c:v>
                </c:pt>
                <c:pt idx="47">
                  <c:v>24012.18387449759</c:v>
                </c:pt>
                <c:pt idx="48">
                  <c:v>25373.79844666763</c:v>
                </c:pt>
                <c:pt idx="49">
                  <c:v>26782.14657629737</c:v>
                </c:pt>
                <c:pt idx="50">
                  <c:v>28237.82935947281</c:v>
                </c:pt>
                <c:pt idx="51">
                  <c:v>29741.44324548669</c:v>
                </c:pt>
                <c:pt idx="52">
                  <c:v>31293.58016465966</c:v>
                </c:pt>
                <c:pt idx="53">
                  <c:v>32894.82765021579</c:v>
                </c:pt>
                <c:pt idx="54">
                  <c:v>34545.76895459775</c:v>
                </c:pt>
                <c:pt idx="55">
                  <c:v>36246.98316057489</c:v>
                </c:pt>
                <c:pt idx="56">
                  <c:v>37999.04528746931</c:v>
                </c:pt>
                <c:pt idx="57">
                  <c:v>39802.52639279944</c:v>
                </c:pt>
                <c:pt idx="58">
                  <c:v>41657.9936696166</c:v>
                </c:pt>
                <c:pt idx="59">
                  <c:v>43566.01053978864</c:v>
                </c:pt>
                <c:pt idx="60">
                  <c:v>45527.13674346721</c:v>
                </c:pt>
                <c:pt idx="61">
                  <c:v>47541.92842495666</c:v>
                </c:pt>
                <c:pt idx="62">
                  <c:v>49610.9382151849</c:v>
                </c:pt>
                <c:pt idx="63">
                  <c:v>51734.71531096709</c:v>
                </c:pt>
                <c:pt idx="64">
                  <c:v>53913.8055512338</c:v>
                </c:pt>
                <c:pt idx="65">
                  <c:v>56148.7514903871</c:v>
                </c:pt>
                <c:pt idx="66">
                  <c:v>58440.09246893659</c:v>
                </c:pt>
                <c:pt idx="67">
                  <c:v>60788.36468155499</c:v>
                </c:pt>
                <c:pt idx="68">
                  <c:v>63194.10124268608</c:v>
                </c:pt>
                <c:pt idx="69">
                  <c:v>65657.8322498285</c:v>
                </c:pt>
                <c:pt idx="70">
                  <c:v>68180.08484460945</c:v>
                </c:pt>
                <c:pt idx="71">
                  <c:v>70761.38327175699</c:v>
                </c:pt>
                <c:pt idx="72">
                  <c:v>73402.2489360727</c:v>
                </c:pt>
                <c:pt idx="73">
                  <c:v>76103.20045749846</c:v>
                </c:pt>
                <c:pt idx="74">
                  <c:v>78864.75372436735</c:v>
                </c:pt>
                <c:pt idx="75">
                  <c:v>81687.42194492278</c:v>
                </c:pt>
                <c:pt idx="76">
                  <c:v>84571.71569718479</c:v>
                </c:pt>
                <c:pt idx="77">
                  <c:v>87518.14297723556</c:v>
                </c:pt>
                <c:pt idx="78">
                  <c:v>90527.20924599924</c:v>
                </c:pt>
                <c:pt idx="79">
                  <c:v>93599.41747457666</c:v>
                </c:pt>
                <c:pt idx="80">
                  <c:v>96735.26818819984</c:v>
                </c:pt>
                <c:pt idx="81">
                  <c:v>99935.25950886796</c:v>
                </c:pt>
                <c:pt idx="82">
                  <c:v>103199.8871967124</c:v>
                </c:pt>
                <c:pt idx="83">
                  <c:v>106529.6446901549</c:v>
                </c:pt>
                <c:pt idx="84">
                  <c:v>109925.023144898</c:v>
                </c:pt>
                <c:pt idx="85">
                  <c:v>113386.5114718025</c:v>
                </c:pt>
                <c:pt idx="86">
                  <c:v>116914.596373691</c:v>
                </c:pt>
                <c:pt idx="87">
                  <c:v>120509.7623811277</c:v>
                </c:pt>
                <c:pt idx="88">
                  <c:v>124172.4918872038</c:v>
                </c:pt>
                <c:pt idx="89">
                  <c:v>127903.2651813785</c:v>
                </c:pt>
                <c:pt idx="90">
                  <c:v>131702.5604824054</c:v>
                </c:pt>
                <c:pt idx="91">
                  <c:v>135570.853970376</c:v>
                </c:pt>
                <c:pt idx="92">
                  <c:v>139508.6198179241</c:v>
                </c:pt>
                <c:pt idx="93">
                  <c:v>143516.3302206089</c:v>
                </c:pt>
                <c:pt idx="94">
                  <c:v>147594.4554265198</c:v>
                </c:pt>
                <c:pt idx="95">
                  <c:v>151743.4637651198</c:v>
                </c:pt>
                <c:pt idx="96">
                  <c:v>155963.8216753633</c:v>
                </c:pt>
                <c:pt idx="97">
                  <c:v>160255.9937331092</c:v>
                </c:pt>
                <c:pt idx="98">
                  <c:v>164620.4426778549</c:v>
                </c:pt>
                <c:pt idx="99">
                  <c:v>169057.6294388183</c:v>
                </c:pt>
                <c:pt idx="100">
                  <c:v>173568.013160385</c:v>
                </c:pt>
                <c:pt idx="101">
                  <c:v>178152.0512269447</c:v>
                </c:pt>
                <c:pt idx="102">
                  <c:v>182810.1992871397</c:v>
                </c:pt>
                <c:pt idx="103">
                  <c:v>187542.9112775409</c:v>
                </c:pt>
                <c:pt idx="104">
                  <c:v>192350.6394457724</c:v>
                </c:pt>
                <c:pt idx="105">
                  <c:v>197233.8343731045</c:v>
                </c:pt>
                <c:pt idx="106">
                  <c:v>202192.9449965284</c:v>
                </c:pt>
                <c:pt idx="107">
                  <c:v>207228.4186303323</c:v>
                </c:pt>
                <c:pt idx="108">
                  <c:v>212340.7009871946</c:v>
                </c:pt>
                <c:pt idx="109">
                  <c:v>217530.2361988053</c:v>
                </c:pt>
                <c:pt idx="110">
                  <c:v>222797.4668360402</c:v>
                </c:pt>
                <c:pt idx="111">
                  <c:v>228142.833928687</c:v>
                </c:pt>
                <c:pt idx="112">
                  <c:v>233566.7769847537</c:v>
                </c:pt>
                <c:pt idx="113">
                  <c:v>239069.7340093562</c:v>
                </c:pt>
                <c:pt idx="114">
                  <c:v>244652.1415232096</c:v>
                </c:pt>
                <c:pt idx="115">
                  <c:v>250314.4345807298</c:v>
                </c:pt>
                <c:pt idx="116">
                  <c:v>256057.0467877577</c:v>
                </c:pt>
                <c:pt idx="117">
                  <c:v>261880.410318916</c:v>
                </c:pt>
                <c:pt idx="118">
                  <c:v>267784.9559346116</c:v>
                </c:pt>
                <c:pt idx="119">
                  <c:v>273771.1129976921</c:v>
                </c:pt>
                <c:pt idx="120">
                  <c:v>279839.3094897678</c:v>
                </c:pt>
                <c:pt idx="121">
                  <c:v>285989.9720272071</c:v>
                </c:pt>
                <c:pt idx="122">
                  <c:v>292223.5258768134</c:v>
                </c:pt>
                <c:pt idx="123">
                  <c:v>298540.3949711965</c:v>
                </c:pt>
                <c:pt idx="124">
                  <c:v>304941.0019238464</c:v>
                </c:pt>
                <c:pt idx="125">
                  <c:v>311425.7680439076</c:v>
                </c:pt>
                <c:pt idx="126">
                  <c:v>317995.1133506797</c:v>
                </c:pt>
                <c:pt idx="127">
                  <c:v>324649.4565878389</c:v>
                </c:pt>
                <c:pt idx="128">
                  <c:v>331389.215237388</c:v>
                </c:pt>
                <c:pt idx="129">
                  <c:v>338214.8055333514</c:v>
                </c:pt>
                <c:pt idx="130">
                  <c:v>345126.6424752077</c:v>
                </c:pt>
                <c:pt idx="131">
                  <c:v>352125.1398410844</c:v>
                </c:pt>
                <c:pt idx="132">
                  <c:v>359210.7102007034</c:v>
                </c:pt>
                <c:pt idx="133">
                  <c:v>366383.7649280966</c:v>
                </c:pt>
                <c:pt idx="134">
                  <c:v>373644.7142140879</c:v>
                </c:pt>
                <c:pt idx="135">
                  <c:v>380993.9670785602</c:v>
                </c:pt>
                <c:pt idx="136">
                  <c:v>388431.9313824911</c:v>
                </c:pt>
                <c:pt idx="137">
                  <c:v>395959.013839794</c:v>
                </c:pt>
                <c:pt idx="138">
                  <c:v>403575.6200289379</c:v>
                </c:pt>
                <c:pt idx="139">
                  <c:v>411282.1544043709</c:v>
                </c:pt>
                <c:pt idx="140">
                  <c:v>419079.0203077511</c:v>
                </c:pt>
                <c:pt idx="141">
                  <c:v>426966.619978977</c:v>
                </c:pt>
                <c:pt idx="142">
                  <c:v>434945.3545670361</c:v>
                </c:pt>
                <c:pt idx="143">
                  <c:v>443015.62414067</c:v>
                </c:pt>
                <c:pt idx="144">
                  <c:v>451177.8276988631</c:v>
                </c:pt>
                <c:pt idx="145">
                  <c:v>459432.363181147</c:v>
                </c:pt>
                <c:pt idx="146">
                  <c:v>467779.6274777509</c:v>
                </c:pt>
                <c:pt idx="147">
                  <c:v>476220.0164395691</c:v>
                </c:pt>
                <c:pt idx="148">
                  <c:v>484753.9248879804</c:v>
                </c:pt>
                <c:pt idx="149">
                  <c:v>493381.746624496</c:v>
                </c:pt>
                <c:pt idx="150">
                  <c:v>502103.8744402621</c:v>
                </c:pt>
                <c:pt idx="151">
                  <c:v>510920.7001254085</c:v>
                </c:pt>
                <c:pt idx="152">
                  <c:v>519832.6144782444</c:v>
                </c:pt>
                <c:pt idx="153">
                  <c:v>528840.0073143158</c:v>
                </c:pt>
                <c:pt idx="154">
                  <c:v>537943.2674753183</c:v>
                </c:pt>
                <c:pt idx="155">
                  <c:v>547142.7828378672</c:v>
                </c:pt>
                <c:pt idx="156">
                  <c:v>556438.9403221422</c:v>
                </c:pt>
                <c:pt idx="157">
                  <c:v>565832.1259003915</c:v>
                </c:pt>
                <c:pt idx="158">
                  <c:v>575322.7246053082</c:v>
                </c:pt>
                <c:pt idx="159">
                  <c:v>584911.120538281</c:v>
                </c:pt>
                <c:pt idx="160">
                  <c:v>594597.6968775163</c:v>
                </c:pt>
                <c:pt idx="161">
                  <c:v>604382.835886052</c:v>
                </c:pt>
                <c:pt idx="162">
                  <c:v>614266.9189196297</c:v>
                </c:pt>
                <c:pt idx="163">
                  <c:v>624250.3264344775</c:v>
                </c:pt>
                <c:pt idx="164">
                  <c:v>634333.4379949533</c:v>
                </c:pt>
                <c:pt idx="165">
                  <c:v>644516.6322810918</c:v>
                </c:pt>
                <c:pt idx="166">
                  <c:v>654800.2870960456</c:v>
                </c:pt>
                <c:pt idx="167">
                  <c:v>665184.7793733989</c:v>
                </c:pt>
                <c:pt idx="168">
                  <c:v>675670.4851844001</c:v>
                </c:pt>
                <c:pt idx="169">
                  <c:v>686257.7797450766</c:v>
                </c:pt>
                <c:pt idx="170">
                  <c:v>696947.0374232545</c:v>
                </c:pt>
                <c:pt idx="171">
                  <c:v>707738.6317454728</c:v>
                </c:pt>
                <c:pt idx="172">
                  <c:v>718632.9354038125</c:v>
                </c:pt>
                <c:pt idx="173">
                  <c:v>729630.3202626284</c:v>
                </c:pt>
                <c:pt idx="174">
                  <c:v>740731.1573651677</c:v>
                </c:pt>
                <c:pt idx="175">
                  <c:v>751935.8169401338</c:v>
                </c:pt>
                <c:pt idx="176">
                  <c:v>763244.6684081204</c:v>
                </c:pt>
                <c:pt idx="177">
                  <c:v>783685.0</c:v>
                </c:pt>
                <c:pt idx="178">
                  <c:v>806436.0</c:v>
                </c:pt>
                <c:pt idx="179">
                  <c:v>820757.0</c:v>
                </c:pt>
                <c:pt idx="180">
                  <c:v>863838.0</c:v>
                </c:pt>
                <c:pt idx="181">
                  <c:v>881114.76</c:v>
                </c:pt>
                <c:pt idx="182">
                  <c:v>907548.2028000001</c:v>
                </c:pt>
                <c:pt idx="183">
                  <c:v>934774.648884</c:v>
                </c:pt>
                <c:pt idx="184">
                  <c:v>962817.8883505201</c:v>
                </c:pt>
                <c:pt idx="185">
                  <c:v>991702.4250010357</c:v>
                </c:pt>
                <c:pt idx="186">
                  <c:v>1.02145349775107E6</c:v>
                </c:pt>
                <c:pt idx="187">
                  <c:v>1.0520971026836E6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Rides!$C$2</c:f>
              <c:strCache>
                <c:ptCount val="1"/>
                <c:pt idx="0">
                  <c:v>Lyft</c:v>
                </c:pt>
              </c:strCache>
            </c:strRef>
          </c:tx>
          <c:marker>
            <c:symbol val="none"/>
          </c:marker>
          <c:cat>
            <c:numRef>
              <c:f>Rides!$A$3:$A$190</c:f>
              <c:numCache>
                <c:formatCode>m/d/yy;@</c:formatCode>
                <c:ptCount val="188"/>
                <c:pt idx="0">
                  <c:v>40330.0</c:v>
                </c:pt>
                <c:pt idx="1">
                  <c:v>40337.0</c:v>
                </c:pt>
                <c:pt idx="2">
                  <c:v>40344.0</c:v>
                </c:pt>
                <c:pt idx="3">
                  <c:v>40351.0</c:v>
                </c:pt>
                <c:pt idx="4">
                  <c:v>40358.0</c:v>
                </c:pt>
                <c:pt idx="5">
                  <c:v>40365.0</c:v>
                </c:pt>
                <c:pt idx="6">
                  <c:v>40372.0</c:v>
                </c:pt>
                <c:pt idx="7">
                  <c:v>40379.0</c:v>
                </c:pt>
                <c:pt idx="8">
                  <c:v>40386.0</c:v>
                </c:pt>
                <c:pt idx="9">
                  <c:v>40393.0</c:v>
                </c:pt>
                <c:pt idx="10">
                  <c:v>40400.0</c:v>
                </c:pt>
                <c:pt idx="11">
                  <c:v>40407.0</c:v>
                </c:pt>
                <c:pt idx="12">
                  <c:v>40414.0</c:v>
                </c:pt>
                <c:pt idx="13">
                  <c:v>40421.0</c:v>
                </c:pt>
                <c:pt idx="14">
                  <c:v>40428.0</c:v>
                </c:pt>
                <c:pt idx="15">
                  <c:v>40435.0</c:v>
                </c:pt>
                <c:pt idx="16">
                  <c:v>40442.0</c:v>
                </c:pt>
                <c:pt idx="17">
                  <c:v>40449.0</c:v>
                </c:pt>
                <c:pt idx="18">
                  <c:v>40456.0</c:v>
                </c:pt>
                <c:pt idx="19">
                  <c:v>40463.0</c:v>
                </c:pt>
                <c:pt idx="20">
                  <c:v>40470.0</c:v>
                </c:pt>
                <c:pt idx="21">
                  <c:v>40477.0</c:v>
                </c:pt>
                <c:pt idx="22">
                  <c:v>40484.0</c:v>
                </c:pt>
                <c:pt idx="23">
                  <c:v>40491.0</c:v>
                </c:pt>
                <c:pt idx="24">
                  <c:v>40498.0</c:v>
                </c:pt>
                <c:pt idx="25">
                  <c:v>40505.0</c:v>
                </c:pt>
                <c:pt idx="26">
                  <c:v>40512.0</c:v>
                </c:pt>
                <c:pt idx="27">
                  <c:v>40519.0</c:v>
                </c:pt>
                <c:pt idx="28">
                  <c:v>40526.0</c:v>
                </c:pt>
                <c:pt idx="29">
                  <c:v>40533.0</c:v>
                </c:pt>
                <c:pt idx="30">
                  <c:v>40540.0</c:v>
                </c:pt>
                <c:pt idx="31">
                  <c:v>40547.0</c:v>
                </c:pt>
                <c:pt idx="32">
                  <c:v>40554.0</c:v>
                </c:pt>
                <c:pt idx="33">
                  <c:v>40561.0</c:v>
                </c:pt>
                <c:pt idx="34">
                  <c:v>40568.0</c:v>
                </c:pt>
                <c:pt idx="35">
                  <c:v>40575.0</c:v>
                </c:pt>
                <c:pt idx="36">
                  <c:v>40582.0</c:v>
                </c:pt>
                <c:pt idx="37">
                  <c:v>40589.0</c:v>
                </c:pt>
                <c:pt idx="38">
                  <c:v>40596.0</c:v>
                </c:pt>
                <c:pt idx="39">
                  <c:v>40603.0</c:v>
                </c:pt>
                <c:pt idx="40">
                  <c:v>40610.0</c:v>
                </c:pt>
                <c:pt idx="41">
                  <c:v>40617.0</c:v>
                </c:pt>
                <c:pt idx="42">
                  <c:v>40624.0</c:v>
                </c:pt>
                <c:pt idx="43">
                  <c:v>40631.0</c:v>
                </c:pt>
                <c:pt idx="44">
                  <c:v>40638.0</c:v>
                </c:pt>
                <c:pt idx="45">
                  <c:v>40645.0</c:v>
                </c:pt>
                <c:pt idx="46">
                  <c:v>40652.0</c:v>
                </c:pt>
                <c:pt idx="47">
                  <c:v>40659.0</c:v>
                </c:pt>
                <c:pt idx="48">
                  <c:v>40666.0</c:v>
                </c:pt>
                <c:pt idx="49">
                  <c:v>40673.0</c:v>
                </c:pt>
                <c:pt idx="50">
                  <c:v>40680.0</c:v>
                </c:pt>
                <c:pt idx="51">
                  <c:v>40687.0</c:v>
                </c:pt>
                <c:pt idx="52">
                  <c:v>40694.0</c:v>
                </c:pt>
                <c:pt idx="53">
                  <c:v>40701.0</c:v>
                </c:pt>
                <c:pt idx="54">
                  <c:v>40708.0</c:v>
                </c:pt>
                <c:pt idx="55">
                  <c:v>40715.0</c:v>
                </c:pt>
                <c:pt idx="56">
                  <c:v>40722.0</c:v>
                </c:pt>
                <c:pt idx="57">
                  <c:v>40729.0</c:v>
                </c:pt>
                <c:pt idx="58">
                  <c:v>40736.0</c:v>
                </c:pt>
                <c:pt idx="59">
                  <c:v>40743.0</c:v>
                </c:pt>
                <c:pt idx="60">
                  <c:v>40750.0</c:v>
                </c:pt>
                <c:pt idx="61">
                  <c:v>40757.0</c:v>
                </c:pt>
                <c:pt idx="62">
                  <c:v>40764.0</c:v>
                </c:pt>
                <c:pt idx="63">
                  <c:v>40771.0</c:v>
                </c:pt>
                <c:pt idx="64">
                  <c:v>40778.0</c:v>
                </c:pt>
                <c:pt idx="65">
                  <c:v>40785.0</c:v>
                </c:pt>
                <c:pt idx="66">
                  <c:v>40792.0</c:v>
                </c:pt>
                <c:pt idx="67">
                  <c:v>40799.0</c:v>
                </c:pt>
                <c:pt idx="68">
                  <c:v>40806.0</c:v>
                </c:pt>
                <c:pt idx="69">
                  <c:v>40813.0</c:v>
                </c:pt>
                <c:pt idx="70">
                  <c:v>40820.0</c:v>
                </c:pt>
                <c:pt idx="71">
                  <c:v>40827.0</c:v>
                </c:pt>
                <c:pt idx="72">
                  <c:v>40834.0</c:v>
                </c:pt>
                <c:pt idx="73">
                  <c:v>40841.0</c:v>
                </c:pt>
                <c:pt idx="74">
                  <c:v>40848.0</c:v>
                </c:pt>
                <c:pt idx="75">
                  <c:v>40855.0</c:v>
                </c:pt>
                <c:pt idx="76">
                  <c:v>40862.0</c:v>
                </c:pt>
                <c:pt idx="77">
                  <c:v>40869.0</c:v>
                </c:pt>
                <c:pt idx="78">
                  <c:v>40876.0</c:v>
                </c:pt>
                <c:pt idx="79">
                  <c:v>40883.0</c:v>
                </c:pt>
                <c:pt idx="80">
                  <c:v>40890.0</c:v>
                </c:pt>
                <c:pt idx="81">
                  <c:v>40897.0</c:v>
                </c:pt>
                <c:pt idx="82">
                  <c:v>40904.0</c:v>
                </c:pt>
                <c:pt idx="83">
                  <c:v>40911.0</c:v>
                </c:pt>
                <c:pt idx="84">
                  <c:v>40918.0</c:v>
                </c:pt>
                <c:pt idx="85">
                  <c:v>40925.0</c:v>
                </c:pt>
                <c:pt idx="86">
                  <c:v>40932.0</c:v>
                </c:pt>
                <c:pt idx="87">
                  <c:v>40939.0</c:v>
                </c:pt>
                <c:pt idx="88">
                  <c:v>40946.0</c:v>
                </c:pt>
                <c:pt idx="89">
                  <c:v>40953.0</c:v>
                </c:pt>
                <c:pt idx="90">
                  <c:v>40960.0</c:v>
                </c:pt>
                <c:pt idx="91">
                  <c:v>40967.0</c:v>
                </c:pt>
                <c:pt idx="92">
                  <c:v>40974.0</c:v>
                </c:pt>
                <c:pt idx="93">
                  <c:v>40981.0</c:v>
                </c:pt>
                <c:pt idx="94">
                  <c:v>40988.0</c:v>
                </c:pt>
                <c:pt idx="95">
                  <c:v>40995.0</c:v>
                </c:pt>
                <c:pt idx="96">
                  <c:v>41002.0</c:v>
                </c:pt>
                <c:pt idx="97">
                  <c:v>41009.0</c:v>
                </c:pt>
                <c:pt idx="98">
                  <c:v>41016.0</c:v>
                </c:pt>
                <c:pt idx="99">
                  <c:v>41023.0</c:v>
                </c:pt>
                <c:pt idx="100">
                  <c:v>41030.0</c:v>
                </c:pt>
                <c:pt idx="101">
                  <c:v>41037.0</c:v>
                </c:pt>
                <c:pt idx="102">
                  <c:v>41044.0</c:v>
                </c:pt>
                <c:pt idx="103">
                  <c:v>41051.0</c:v>
                </c:pt>
                <c:pt idx="104">
                  <c:v>41058.0</c:v>
                </c:pt>
                <c:pt idx="105">
                  <c:v>41065.0</c:v>
                </c:pt>
                <c:pt idx="106">
                  <c:v>41072.0</c:v>
                </c:pt>
                <c:pt idx="107">
                  <c:v>41079.0</c:v>
                </c:pt>
                <c:pt idx="108">
                  <c:v>41086.0</c:v>
                </c:pt>
                <c:pt idx="109">
                  <c:v>41093.0</c:v>
                </c:pt>
                <c:pt idx="110">
                  <c:v>41100.0</c:v>
                </c:pt>
                <c:pt idx="111">
                  <c:v>41107.0</c:v>
                </c:pt>
                <c:pt idx="112">
                  <c:v>41114.0</c:v>
                </c:pt>
                <c:pt idx="113">
                  <c:v>41121.0</c:v>
                </c:pt>
                <c:pt idx="114">
                  <c:v>41128.0</c:v>
                </c:pt>
                <c:pt idx="115">
                  <c:v>41135.0</c:v>
                </c:pt>
                <c:pt idx="116">
                  <c:v>41142.0</c:v>
                </c:pt>
                <c:pt idx="117">
                  <c:v>41149.0</c:v>
                </c:pt>
                <c:pt idx="118">
                  <c:v>41156.0</c:v>
                </c:pt>
                <c:pt idx="119">
                  <c:v>41163.0</c:v>
                </c:pt>
                <c:pt idx="120">
                  <c:v>41170.0</c:v>
                </c:pt>
                <c:pt idx="121">
                  <c:v>41177.0</c:v>
                </c:pt>
                <c:pt idx="122">
                  <c:v>41184.0</c:v>
                </c:pt>
                <c:pt idx="123">
                  <c:v>41191.0</c:v>
                </c:pt>
                <c:pt idx="124">
                  <c:v>41198.0</c:v>
                </c:pt>
                <c:pt idx="125">
                  <c:v>41205.0</c:v>
                </c:pt>
                <c:pt idx="126">
                  <c:v>41212.0</c:v>
                </c:pt>
                <c:pt idx="127">
                  <c:v>41219.0</c:v>
                </c:pt>
                <c:pt idx="128">
                  <c:v>41226.0</c:v>
                </c:pt>
                <c:pt idx="129">
                  <c:v>41233.0</c:v>
                </c:pt>
                <c:pt idx="130">
                  <c:v>41240.0</c:v>
                </c:pt>
                <c:pt idx="131">
                  <c:v>41247.0</c:v>
                </c:pt>
                <c:pt idx="132">
                  <c:v>41254.0</c:v>
                </c:pt>
                <c:pt idx="133">
                  <c:v>41261.0</c:v>
                </c:pt>
                <c:pt idx="134">
                  <c:v>41268.0</c:v>
                </c:pt>
                <c:pt idx="135">
                  <c:v>41275.0</c:v>
                </c:pt>
                <c:pt idx="136">
                  <c:v>41282.0</c:v>
                </c:pt>
                <c:pt idx="137">
                  <c:v>41289.0</c:v>
                </c:pt>
                <c:pt idx="138">
                  <c:v>41296.0</c:v>
                </c:pt>
                <c:pt idx="139">
                  <c:v>41303.0</c:v>
                </c:pt>
                <c:pt idx="140">
                  <c:v>41310.0</c:v>
                </c:pt>
                <c:pt idx="141">
                  <c:v>41317.0</c:v>
                </c:pt>
                <c:pt idx="142">
                  <c:v>41324.0</c:v>
                </c:pt>
                <c:pt idx="143">
                  <c:v>41331.0</c:v>
                </c:pt>
                <c:pt idx="144">
                  <c:v>41338.0</c:v>
                </c:pt>
                <c:pt idx="145">
                  <c:v>41345.0</c:v>
                </c:pt>
                <c:pt idx="146">
                  <c:v>41352.0</c:v>
                </c:pt>
                <c:pt idx="147">
                  <c:v>41359.0</c:v>
                </c:pt>
                <c:pt idx="148">
                  <c:v>41366.0</c:v>
                </c:pt>
                <c:pt idx="149">
                  <c:v>41373.0</c:v>
                </c:pt>
                <c:pt idx="150">
                  <c:v>41380.0</c:v>
                </c:pt>
                <c:pt idx="151">
                  <c:v>41387.0</c:v>
                </c:pt>
                <c:pt idx="152">
                  <c:v>41394.0</c:v>
                </c:pt>
                <c:pt idx="153">
                  <c:v>41401.0</c:v>
                </c:pt>
                <c:pt idx="154">
                  <c:v>41408.0</c:v>
                </c:pt>
                <c:pt idx="155">
                  <c:v>41415.0</c:v>
                </c:pt>
                <c:pt idx="156">
                  <c:v>41422.0</c:v>
                </c:pt>
                <c:pt idx="157">
                  <c:v>41429.0</c:v>
                </c:pt>
                <c:pt idx="158">
                  <c:v>41436.0</c:v>
                </c:pt>
                <c:pt idx="159">
                  <c:v>41443.0</c:v>
                </c:pt>
                <c:pt idx="160">
                  <c:v>41450.0</c:v>
                </c:pt>
                <c:pt idx="161">
                  <c:v>41457.0</c:v>
                </c:pt>
                <c:pt idx="162">
                  <c:v>41464.0</c:v>
                </c:pt>
                <c:pt idx="163">
                  <c:v>41471.0</c:v>
                </c:pt>
                <c:pt idx="164">
                  <c:v>41478.0</c:v>
                </c:pt>
                <c:pt idx="165">
                  <c:v>41485.0</c:v>
                </c:pt>
                <c:pt idx="166">
                  <c:v>41492.0</c:v>
                </c:pt>
                <c:pt idx="167">
                  <c:v>41499.0</c:v>
                </c:pt>
                <c:pt idx="168">
                  <c:v>41506.0</c:v>
                </c:pt>
                <c:pt idx="169">
                  <c:v>41513.0</c:v>
                </c:pt>
                <c:pt idx="170">
                  <c:v>41520.0</c:v>
                </c:pt>
                <c:pt idx="171">
                  <c:v>41527.0</c:v>
                </c:pt>
                <c:pt idx="172">
                  <c:v>41534.0</c:v>
                </c:pt>
                <c:pt idx="173">
                  <c:v>41541.0</c:v>
                </c:pt>
                <c:pt idx="174">
                  <c:v>41548.0</c:v>
                </c:pt>
                <c:pt idx="175">
                  <c:v>41555.0</c:v>
                </c:pt>
                <c:pt idx="176">
                  <c:v>41562.0</c:v>
                </c:pt>
                <c:pt idx="177">
                  <c:v>41569.0</c:v>
                </c:pt>
                <c:pt idx="178">
                  <c:v>41576.0</c:v>
                </c:pt>
                <c:pt idx="179">
                  <c:v>41583.0</c:v>
                </c:pt>
                <c:pt idx="180">
                  <c:v>41590.0</c:v>
                </c:pt>
                <c:pt idx="181">
                  <c:v>41597.0</c:v>
                </c:pt>
                <c:pt idx="182">
                  <c:v>41604.0</c:v>
                </c:pt>
                <c:pt idx="183">
                  <c:v>41611.0</c:v>
                </c:pt>
                <c:pt idx="184">
                  <c:v>41618.0</c:v>
                </c:pt>
                <c:pt idx="185">
                  <c:v>41625.0</c:v>
                </c:pt>
                <c:pt idx="186">
                  <c:v>41632.0</c:v>
                </c:pt>
                <c:pt idx="187">
                  <c:v>41639.0</c:v>
                </c:pt>
              </c:numCache>
            </c:numRef>
          </c:cat>
          <c:val>
            <c:numRef>
              <c:f>Rides!$C$3:$C$190</c:f>
              <c:numCache>
                <c:formatCode>0</c:formatCode>
                <c:ptCount val="188"/>
                <c:pt idx="117">
                  <c:v>1.0</c:v>
                </c:pt>
                <c:pt idx="118">
                  <c:v>10.56425162047613</c:v>
                </c:pt>
                <c:pt idx="119">
                  <c:v>36.85314379979999</c:v>
                </c:pt>
                <c:pt idx="120">
                  <c:v>85.31452012140863</c:v>
                </c:pt>
                <c:pt idx="121">
                  <c:v>160.359580971592</c:v>
                </c:pt>
                <c:pt idx="122">
                  <c:v>265.8194469348845</c:v>
                </c:pt>
                <c:pt idx="123">
                  <c:v>405.1355523994315</c:v>
                </c:pt>
                <c:pt idx="124">
                  <c:v>581.4630251647102</c:v>
                </c:pt>
                <c:pt idx="125">
                  <c:v>797.7346582710713</c:v>
                </c:pt>
                <c:pt idx="126">
                  <c:v>1056.703885838539</c:v>
                </c:pt>
                <c:pt idx="127">
                  <c:v>1360.97535476188</c:v>
                </c:pt>
                <c:pt idx="128">
                  <c:v>1713.027615208928</c:v>
                </c:pt>
                <c:pt idx="129">
                  <c:v>2115.23052363025</c:v>
                </c:pt>
                <c:pt idx="130">
                  <c:v>2569.858944717362</c:v>
                </c:pt>
                <c:pt idx="131">
                  <c:v>3079.103772983735</c:v>
                </c:pt>
                <c:pt idx="132">
                  <c:v>3645.080958024235</c:v>
                </c:pt>
                <c:pt idx="133">
                  <c:v>4269.839007638031</c:v>
                </c:pt>
                <c:pt idx="134">
                  <c:v>4955.365306983134</c:v>
                </c:pt>
                <c:pt idx="135">
                  <c:v>5703.591500840423</c:v>
                </c:pt>
                <c:pt idx="136">
                  <c:v>6516.398123331273</c:v>
                </c:pt>
                <c:pt idx="137">
                  <c:v>7395.618615163606</c:v>
                </c:pt>
                <c:pt idx="138">
                  <c:v>8343.042836569606</c:v>
                </c:pt>
                <c:pt idx="139">
                  <c:v>9360.420160663445</c:v>
                </c:pt>
                <c:pt idx="140">
                  <c:v>10449.46221443676</c:v>
                </c:pt>
                <c:pt idx="141">
                  <c:v>11611.84532134408</c:v>
                </c:pt>
                <c:pt idx="142">
                  <c:v>12849.21268922777</c:v>
                </c:pt>
                <c:pt idx="143">
                  <c:v>14163.17637939729</c:v>
                </c:pt>
                <c:pt idx="144">
                  <c:v>15555.31908644535</c:v>
                </c:pt>
                <c:pt idx="145">
                  <c:v>17027.19575341049</c:v>
                </c:pt>
                <c:pt idx="146">
                  <c:v>18580.33504293082</c:v>
                </c:pt>
                <c:pt idx="147">
                  <c:v>20216.24068181045</c:v>
                </c:pt>
                <c:pt idx="148">
                  <c:v>21936.39269378799</c:v>
                </c:pt>
                <c:pt idx="149">
                  <c:v>23742.24853315801</c:v>
                </c:pt>
                <c:pt idx="150">
                  <c:v>25635.24413009227</c:v>
                </c:pt>
                <c:pt idx="151">
                  <c:v>27616.79485703289</c:v>
                </c:pt>
                <c:pt idx="152">
                  <c:v>29688.29642429802</c:v>
                </c:pt>
                <c:pt idx="153">
                  <c:v>31851.12571195286</c:v>
                </c:pt>
                <c:pt idx="154">
                  <c:v>34106.64154417481</c:v>
                </c:pt>
                <c:pt idx="155">
                  <c:v>36456.1854115164</c:v>
                </c:pt>
                <c:pt idx="156">
                  <c:v>38901.08214588492</c:v>
                </c:pt>
                <c:pt idx="157">
                  <c:v>41442.64055246767</c:v>
                </c:pt>
                <c:pt idx="158">
                  <c:v>44082.15400236141</c:v>
                </c:pt>
                <c:pt idx="159">
                  <c:v>46820.90098926692</c:v>
                </c:pt>
                <c:pt idx="160">
                  <c:v>49660.14565323386</c:v>
                </c:pt>
                <c:pt idx="161">
                  <c:v>52601.13827411574</c:v>
                </c:pt>
                <c:pt idx="162">
                  <c:v>55645.11573717498</c:v>
                </c:pt>
                <c:pt idx="163">
                  <c:v>58793.30197295907</c:v>
                </c:pt>
                <c:pt idx="164">
                  <c:v>62046.90837344538</c:v>
                </c:pt>
                <c:pt idx="165">
                  <c:v>65407.13418615365</c:v>
                </c:pt>
                <c:pt idx="166">
                  <c:v>68685.26085228228</c:v>
                </c:pt>
                <c:pt idx="167">
                  <c:v>70698.7</c:v>
                </c:pt>
                <c:pt idx="168">
                  <c:v>73986.958</c:v>
                </c:pt>
                <c:pt idx="169">
                  <c:v>77350.312</c:v>
                </c:pt>
                <c:pt idx="170">
                  <c:v>80788.762</c:v>
                </c:pt>
                <c:pt idx="171">
                  <c:v>84302.308</c:v>
                </c:pt>
                <c:pt idx="172">
                  <c:v>87890.95000000001</c:v>
                </c:pt>
                <c:pt idx="173">
                  <c:v>91554.688</c:v>
                </c:pt>
                <c:pt idx="174">
                  <c:v>95293.52200000001</c:v>
                </c:pt>
                <c:pt idx="175">
                  <c:v>99107.452</c:v>
                </c:pt>
                <c:pt idx="176">
                  <c:v>102996.478</c:v>
                </c:pt>
                <c:pt idx="177">
                  <c:v>106960.6</c:v>
                </c:pt>
                <c:pt idx="178">
                  <c:v>110999.818</c:v>
                </c:pt>
                <c:pt idx="179">
                  <c:v>115114.132</c:v>
                </c:pt>
                <c:pt idx="180">
                  <c:v>119303.542</c:v>
                </c:pt>
                <c:pt idx="181">
                  <c:v>123568.048</c:v>
                </c:pt>
                <c:pt idx="182">
                  <c:v>127907.65</c:v>
                </c:pt>
                <c:pt idx="183">
                  <c:v>132322.348</c:v>
                </c:pt>
                <c:pt idx="184">
                  <c:v>136812.142</c:v>
                </c:pt>
                <c:pt idx="185">
                  <c:v>141377.032</c:v>
                </c:pt>
                <c:pt idx="186">
                  <c:v>146017.018</c:v>
                </c:pt>
                <c:pt idx="187">
                  <c:v>150732.1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Rides!$D$2</c:f>
              <c:strCache>
                <c:ptCount val="1"/>
                <c:pt idx="0">
                  <c:v>Hailo</c:v>
                </c:pt>
              </c:strCache>
            </c:strRef>
          </c:tx>
          <c:marker>
            <c:symbol val="none"/>
          </c:marker>
          <c:trendline>
            <c:trendlineType val="power"/>
            <c:dispRSqr val="0"/>
            <c:dispEq val="0"/>
          </c:trendline>
          <c:cat>
            <c:numRef>
              <c:f>Rides!$A$3:$A$190</c:f>
              <c:numCache>
                <c:formatCode>m/d/yy;@</c:formatCode>
                <c:ptCount val="188"/>
                <c:pt idx="0">
                  <c:v>40330.0</c:v>
                </c:pt>
                <c:pt idx="1">
                  <c:v>40337.0</c:v>
                </c:pt>
                <c:pt idx="2">
                  <c:v>40344.0</c:v>
                </c:pt>
                <c:pt idx="3">
                  <c:v>40351.0</c:v>
                </c:pt>
                <c:pt idx="4">
                  <c:v>40358.0</c:v>
                </c:pt>
                <c:pt idx="5">
                  <c:v>40365.0</c:v>
                </c:pt>
                <c:pt idx="6">
                  <c:v>40372.0</c:v>
                </c:pt>
                <c:pt idx="7">
                  <c:v>40379.0</c:v>
                </c:pt>
                <c:pt idx="8">
                  <c:v>40386.0</c:v>
                </c:pt>
                <c:pt idx="9">
                  <c:v>40393.0</c:v>
                </c:pt>
                <c:pt idx="10">
                  <c:v>40400.0</c:v>
                </c:pt>
                <c:pt idx="11">
                  <c:v>40407.0</c:v>
                </c:pt>
                <c:pt idx="12">
                  <c:v>40414.0</c:v>
                </c:pt>
                <c:pt idx="13">
                  <c:v>40421.0</c:v>
                </c:pt>
                <c:pt idx="14">
                  <c:v>40428.0</c:v>
                </c:pt>
                <c:pt idx="15">
                  <c:v>40435.0</c:v>
                </c:pt>
                <c:pt idx="16">
                  <c:v>40442.0</c:v>
                </c:pt>
                <c:pt idx="17">
                  <c:v>40449.0</c:v>
                </c:pt>
                <c:pt idx="18">
                  <c:v>40456.0</c:v>
                </c:pt>
                <c:pt idx="19">
                  <c:v>40463.0</c:v>
                </c:pt>
                <c:pt idx="20">
                  <c:v>40470.0</c:v>
                </c:pt>
                <c:pt idx="21">
                  <c:v>40477.0</c:v>
                </c:pt>
                <c:pt idx="22">
                  <c:v>40484.0</c:v>
                </c:pt>
                <c:pt idx="23">
                  <c:v>40491.0</c:v>
                </c:pt>
                <c:pt idx="24">
                  <c:v>40498.0</c:v>
                </c:pt>
                <c:pt idx="25">
                  <c:v>40505.0</c:v>
                </c:pt>
                <c:pt idx="26">
                  <c:v>40512.0</c:v>
                </c:pt>
                <c:pt idx="27">
                  <c:v>40519.0</c:v>
                </c:pt>
                <c:pt idx="28">
                  <c:v>40526.0</c:v>
                </c:pt>
                <c:pt idx="29">
                  <c:v>40533.0</c:v>
                </c:pt>
                <c:pt idx="30">
                  <c:v>40540.0</c:v>
                </c:pt>
                <c:pt idx="31">
                  <c:v>40547.0</c:v>
                </c:pt>
                <c:pt idx="32">
                  <c:v>40554.0</c:v>
                </c:pt>
                <c:pt idx="33">
                  <c:v>40561.0</c:v>
                </c:pt>
                <c:pt idx="34">
                  <c:v>40568.0</c:v>
                </c:pt>
                <c:pt idx="35">
                  <c:v>40575.0</c:v>
                </c:pt>
                <c:pt idx="36">
                  <c:v>40582.0</c:v>
                </c:pt>
                <c:pt idx="37">
                  <c:v>40589.0</c:v>
                </c:pt>
                <c:pt idx="38">
                  <c:v>40596.0</c:v>
                </c:pt>
                <c:pt idx="39">
                  <c:v>40603.0</c:v>
                </c:pt>
                <c:pt idx="40">
                  <c:v>40610.0</c:v>
                </c:pt>
                <c:pt idx="41">
                  <c:v>40617.0</c:v>
                </c:pt>
                <c:pt idx="42">
                  <c:v>40624.0</c:v>
                </c:pt>
                <c:pt idx="43">
                  <c:v>40631.0</c:v>
                </c:pt>
                <c:pt idx="44">
                  <c:v>40638.0</c:v>
                </c:pt>
                <c:pt idx="45">
                  <c:v>40645.0</c:v>
                </c:pt>
                <c:pt idx="46">
                  <c:v>40652.0</c:v>
                </c:pt>
                <c:pt idx="47">
                  <c:v>40659.0</c:v>
                </c:pt>
                <c:pt idx="48">
                  <c:v>40666.0</c:v>
                </c:pt>
                <c:pt idx="49">
                  <c:v>40673.0</c:v>
                </c:pt>
                <c:pt idx="50">
                  <c:v>40680.0</c:v>
                </c:pt>
                <c:pt idx="51">
                  <c:v>40687.0</c:v>
                </c:pt>
                <c:pt idx="52">
                  <c:v>40694.0</c:v>
                </c:pt>
                <c:pt idx="53">
                  <c:v>40701.0</c:v>
                </c:pt>
                <c:pt idx="54">
                  <c:v>40708.0</c:v>
                </c:pt>
                <c:pt idx="55">
                  <c:v>40715.0</c:v>
                </c:pt>
                <c:pt idx="56">
                  <c:v>40722.0</c:v>
                </c:pt>
                <c:pt idx="57">
                  <c:v>40729.0</c:v>
                </c:pt>
                <c:pt idx="58">
                  <c:v>40736.0</c:v>
                </c:pt>
                <c:pt idx="59">
                  <c:v>40743.0</c:v>
                </c:pt>
                <c:pt idx="60">
                  <c:v>40750.0</c:v>
                </c:pt>
                <c:pt idx="61">
                  <c:v>40757.0</c:v>
                </c:pt>
                <c:pt idx="62">
                  <c:v>40764.0</c:v>
                </c:pt>
                <c:pt idx="63">
                  <c:v>40771.0</c:v>
                </c:pt>
                <c:pt idx="64">
                  <c:v>40778.0</c:v>
                </c:pt>
                <c:pt idx="65">
                  <c:v>40785.0</c:v>
                </c:pt>
                <c:pt idx="66">
                  <c:v>40792.0</c:v>
                </c:pt>
                <c:pt idx="67">
                  <c:v>40799.0</c:v>
                </c:pt>
                <c:pt idx="68">
                  <c:v>40806.0</c:v>
                </c:pt>
                <c:pt idx="69">
                  <c:v>40813.0</c:v>
                </c:pt>
                <c:pt idx="70">
                  <c:v>40820.0</c:v>
                </c:pt>
                <c:pt idx="71">
                  <c:v>40827.0</c:v>
                </c:pt>
                <c:pt idx="72">
                  <c:v>40834.0</c:v>
                </c:pt>
                <c:pt idx="73">
                  <c:v>40841.0</c:v>
                </c:pt>
                <c:pt idx="74">
                  <c:v>40848.0</c:v>
                </c:pt>
                <c:pt idx="75">
                  <c:v>40855.0</c:v>
                </c:pt>
                <c:pt idx="76">
                  <c:v>40862.0</c:v>
                </c:pt>
                <c:pt idx="77">
                  <c:v>40869.0</c:v>
                </c:pt>
                <c:pt idx="78">
                  <c:v>40876.0</c:v>
                </c:pt>
                <c:pt idx="79">
                  <c:v>40883.0</c:v>
                </c:pt>
                <c:pt idx="80">
                  <c:v>40890.0</c:v>
                </c:pt>
                <c:pt idx="81">
                  <c:v>40897.0</c:v>
                </c:pt>
                <c:pt idx="82">
                  <c:v>40904.0</c:v>
                </c:pt>
                <c:pt idx="83">
                  <c:v>40911.0</c:v>
                </c:pt>
                <c:pt idx="84">
                  <c:v>40918.0</c:v>
                </c:pt>
                <c:pt idx="85">
                  <c:v>40925.0</c:v>
                </c:pt>
                <c:pt idx="86">
                  <c:v>40932.0</c:v>
                </c:pt>
                <c:pt idx="87">
                  <c:v>40939.0</c:v>
                </c:pt>
                <c:pt idx="88">
                  <c:v>40946.0</c:v>
                </c:pt>
                <c:pt idx="89">
                  <c:v>40953.0</c:v>
                </c:pt>
                <c:pt idx="90">
                  <c:v>40960.0</c:v>
                </c:pt>
                <c:pt idx="91">
                  <c:v>40967.0</c:v>
                </c:pt>
                <c:pt idx="92">
                  <c:v>40974.0</c:v>
                </c:pt>
                <c:pt idx="93">
                  <c:v>40981.0</c:v>
                </c:pt>
                <c:pt idx="94">
                  <c:v>40988.0</c:v>
                </c:pt>
                <c:pt idx="95">
                  <c:v>40995.0</c:v>
                </c:pt>
                <c:pt idx="96">
                  <c:v>41002.0</c:v>
                </c:pt>
                <c:pt idx="97">
                  <c:v>41009.0</c:v>
                </c:pt>
                <c:pt idx="98">
                  <c:v>41016.0</c:v>
                </c:pt>
                <c:pt idx="99">
                  <c:v>41023.0</c:v>
                </c:pt>
                <c:pt idx="100">
                  <c:v>41030.0</c:v>
                </c:pt>
                <c:pt idx="101">
                  <c:v>41037.0</c:v>
                </c:pt>
                <c:pt idx="102">
                  <c:v>41044.0</c:v>
                </c:pt>
                <c:pt idx="103">
                  <c:v>41051.0</c:v>
                </c:pt>
                <c:pt idx="104">
                  <c:v>41058.0</c:v>
                </c:pt>
                <c:pt idx="105">
                  <c:v>41065.0</c:v>
                </c:pt>
                <c:pt idx="106">
                  <c:v>41072.0</c:v>
                </c:pt>
                <c:pt idx="107">
                  <c:v>41079.0</c:v>
                </c:pt>
                <c:pt idx="108">
                  <c:v>41086.0</c:v>
                </c:pt>
                <c:pt idx="109">
                  <c:v>41093.0</c:v>
                </c:pt>
                <c:pt idx="110">
                  <c:v>41100.0</c:v>
                </c:pt>
                <c:pt idx="111">
                  <c:v>41107.0</c:v>
                </c:pt>
                <c:pt idx="112">
                  <c:v>41114.0</c:v>
                </c:pt>
                <c:pt idx="113">
                  <c:v>41121.0</c:v>
                </c:pt>
                <c:pt idx="114">
                  <c:v>41128.0</c:v>
                </c:pt>
                <c:pt idx="115">
                  <c:v>41135.0</c:v>
                </c:pt>
                <c:pt idx="116">
                  <c:v>41142.0</c:v>
                </c:pt>
                <c:pt idx="117">
                  <c:v>41149.0</c:v>
                </c:pt>
                <c:pt idx="118">
                  <c:v>41156.0</c:v>
                </c:pt>
                <c:pt idx="119">
                  <c:v>41163.0</c:v>
                </c:pt>
                <c:pt idx="120">
                  <c:v>41170.0</c:v>
                </c:pt>
                <c:pt idx="121">
                  <c:v>41177.0</c:v>
                </c:pt>
                <c:pt idx="122">
                  <c:v>41184.0</c:v>
                </c:pt>
                <c:pt idx="123">
                  <c:v>41191.0</c:v>
                </c:pt>
                <c:pt idx="124">
                  <c:v>41198.0</c:v>
                </c:pt>
                <c:pt idx="125">
                  <c:v>41205.0</c:v>
                </c:pt>
                <c:pt idx="126">
                  <c:v>41212.0</c:v>
                </c:pt>
                <c:pt idx="127">
                  <c:v>41219.0</c:v>
                </c:pt>
                <c:pt idx="128">
                  <c:v>41226.0</c:v>
                </c:pt>
                <c:pt idx="129">
                  <c:v>41233.0</c:v>
                </c:pt>
                <c:pt idx="130">
                  <c:v>41240.0</c:v>
                </c:pt>
                <c:pt idx="131">
                  <c:v>41247.0</c:v>
                </c:pt>
                <c:pt idx="132">
                  <c:v>41254.0</c:v>
                </c:pt>
                <c:pt idx="133">
                  <c:v>41261.0</c:v>
                </c:pt>
                <c:pt idx="134">
                  <c:v>41268.0</c:v>
                </c:pt>
                <c:pt idx="135">
                  <c:v>41275.0</c:v>
                </c:pt>
                <c:pt idx="136">
                  <c:v>41282.0</c:v>
                </c:pt>
                <c:pt idx="137">
                  <c:v>41289.0</c:v>
                </c:pt>
                <c:pt idx="138">
                  <c:v>41296.0</c:v>
                </c:pt>
                <c:pt idx="139">
                  <c:v>41303.0</c:v>
                </c:pt>
                <c:pt idx="140">
                  <c:v>41310.0</c:v>
                </c:pt>
                <c:pt idx="141">
                  <c:v>41317.0</c:v>
                </c:pt>
                <c:pt idx="142">
                  <c:v>41324.0</c:v>
                </c:pt>
                <c:pt idx="143">
                  <c:v>41331.0</c:v>
                </c:pt>
                <c:pt idx="144">
                  <c:v>41338.0</c:v>
                </c:pt>
                <c:pt idx="145">
                  <c:v>41345.0</c:v>
                </c:pt>
                <c:pt idx="146">
                  <c:v>41352.0</c:v>
                </c:pt>
                <c:pt idx="147">
                  <c:v>41359.0</c:v>
                </c:pt>
                <c:pt idx="148">
                  <c:v>41366.0</c:v>
                </c:pt>
                <c:pt idx="149">
                  <c:v>41373.0</c:v>
                </c:pt>
                <c:pt idx="150">
                  <c:v>41380.0</c:v>
                </c:pt>
                <c:pt idx="151">
                  <c:v>41387.0</c:v>
                </c:pt>
                <c:pt idx="152">
                  <c:v>41394.0</c:v>
                </c:pt>
                <c:pt idx="153">
                  <c:v>41401.0</c:v>
                </c:pt>
                <c:pt idx="154">
                  <c:v>41408.0</c:v>
                </c:pt>
                <c:pt idx="155">
                  <c:v>41415.0</c:v>
                </c:pt>
                <c:pt idx="156">
                  <c:v>41422.0</c:v>
                </c:pt>
                <c:pt idx="157">
                  <c:v>41429.0</c:v>
                </c:pt>
                <c:pt idx="158">
                  <c:v>41436.0</c:v>
                </c:pt>
                <c:pt idx="159">
                  <c:v>41443.0</c:v>
                </c:pt>
                <c:pt idx="160">
                  <c:v>41450.0</c:v>
                </c:pt>
                <c:pt idx="161">
                  <c:v>41457.0</c:v>
                </c:pt>
                <c:pt idx="162">
                  <c:v>41464.0</c:v>
                </c:pt>
                <c:pt idx="163">
                  <c:v>41471.0</c:v>
                </c:pt>
                <c:pt idx="164">
                  <c:v>41478.0</c:v>
                </c:pt>
                <c:pt idx="165">
                  <c:v>41485.0</c:v>
                </c:pt>
                <c:pt idx="166">
                  <c:v>41492.0</c:v>
                </c:pt>
                <c:pt idx="167">
                  <c:v>41499.0</c:v>
                </c:pt>
                <c:pt idx="168">
                  <c:v>41506.0</c:v>
                </c:pt>
                <c:pt idx="169">
                  <c:v>41513.0</c:v>
                </c:pt>
                <c:pt idx="170">
                  <c:v>41520.0</c:v>
                </c:pt>
                <c:pt idx="171">
                  <c:v>41527.0</c:v>
                </c:pt>
                <c:pt idx="172">
                  <c:v>41534.0</c:v>
                </c:pt>
                <c:pt idx="173">
                  <c:v>41541.0</c:v>
                </c:pt>
                <c:pt idx="174">
                  <c:v>41548.0</c:v>
                </c:pt>
                <c:pt idx="175">
                  <c:v>41555.0</c:v>
                </c:pt>
                <c:pt idx="176">
                  <c:v>41562.0</c:v>
                </c:pt>
                <c:pt idx="177">
                  <c:v>41569.0</c:v>
                </c:pt>
                <c:pt idx="178">
                  <c:v>41576.0</c:v>
                </c:pt>
                <c:pt idx="179">
                  <c:v>41583.0</c:v>
                </c:pt>
                <c:pt idx="180">
                  <c:v>41590.0</c:v>
                </c:pt>
                <c:pt idx="181">
                  <c:v>41597.0</c:v>
                </c:pt>
                <c:pt idx="182">
                  <c:v>41604.0</c:v>
                </c:pt>
                <c:pt idx="183">
                  <c:v>41611.0</c:v>
                </c:pt>
                <c:pt idx="184">
                  <c:v>41618.0</c:v>
                </c:pt>
                <c:pt idx="185">
                  <c:v>41625.0</c:v>
                </c:pt>
                <c:pt idx="186">
                  <c:v>41632.0</c:v>
                </c:pt>
                <c:pt idx="187">
                  <c:v>41639.0</c:v>
                </c:pt>
              </c:numCache>
            </c:numRef>
          </c:cat>
          <c:val>
            <c:numRef>
              <c:f>Rides!$D$3:$D$190</c:f>
              <c:numCache>
                <c:formatCode>0</c:formatCode>
                <c:ptCount val="188"/>
                <c:pt idx="74">
                  <c:v>1.0</c:v>
                </c:pt>
                <c:pt idx="75">
                  <c:v>7.007015074654438</c:v>
                </c:pt>
                <c:pt idx="76">
                  <c:v>21.88457818750056</c:v>
                </c:pt>
                <c:pt idx="77">
                  <c:v>49.09826025643454</c:v>
                </c:pt>
                <c:pt idx="78">
                  <c:v>91.8897242322852</c:v>
                </c:pt>
                <c:pt idx="79">
                  <c:v>153.34556926227</c:v>
                </c:pt>
                <c:pt idx="80">
                  <c:v>236.4347867234406</c:v>
                </c:pt>
                <c:pt idx="81">
                  <c:v>344.0322497561436</c:v>
                </c:pt>
                <c:pt idx="82">
                  <c:v>478.9347624448253</c:v>
                </c:pt>
                <c:pt idx="83">
                  <c:v>643.8726829014618</c:v>
                </c:pt>
                <c:pt idx="84">
                  <c:v>841.5187055791774</c:v>
                </c:pt>
                <c:pt idx="85">
                  <c:v>1074.494715452192</c:v>
                </c:pt>
                <c:pt idx="86">
                  <c:v>1345.377275910256</c:v>
                </c:pt>
                <c:pt idx="87">
                  <c:v>1656.702114743855</c:v>
                </c:pt>
                <c:pt idx="88">
                  <c:v>2010.967854589308</c:v>
                </c:pt>
                <c:pt idx="89">
                  <c:v>2410.63916020858</c:v>
                </c:pt>
                <c:pt idx="90">
                  <c:v>2858.149426706084</c:v>
                </c:pt>
                <c:pt idx="91">
                  <c:v>3355.903100226928</c:v>
                </c:pt>
                <c:pt idx="92">
                  <c:v>3906.277700090349</c:v>
                </c:pt>
                <c:pt idx="93">
                  <c:v>4511.625595248732</c:v>
                </c:pt>
                <c:pt idx="94">
                  <c:v>5174.275576294159</c:v>
                </c:pt>
                <c:pt idx="95">
                  <c:v>5896.534255596987</c:v>
                </c:pt>
                <c:pt idx="96">
                  <c:v>6680.687321660668</c:v>
                </c:pt>
                <c:pt idx="97">
                  <c:v>7529.000668810051</c:v>
                </c:pt>
                <c:pt idx="98">
                  <c:v>8443.721419485422</c:v>
                </c:pt>
                <c:pt idx="99">
                  <c:v>9427.078853400697</c:v>
                </c:pt>
                <c:pt idx="100">
                  <c:v>10481.28525543577</c:v>
                </c:pt>
                <c:pt idx="101">
                  <c:v>11608.53669222207</c:v>
                </c:pt>
                <c:pt idx="102">
                  <c:v>12811.01372583541</c:v>
                </c:pt>
                <c:pt idx="103">
                  <c:v>14090.88207175279</c:v>
                </c:pt>
                <c:pt idx="104">
                  <c:v>15450.2932071964</c:v>
                </c:pt>
                <c:pt idx="105">
                  <c:v>16891.38493513382</c:v>
                </c:pt>
                <c:pt idx="106">
                  <c:v>18416.28190849174</c:v>
                </c:pt>
                <c:pt idx="107">
                  <c:v>20027.09611854446</c:v>
                </c:pt>
                <c:pt idx="108">
                  <c:v>21725.9273509361</c:v>
                </c:pt>
                <c:pt idx="109">
                  <c:v>23514.86361236965</c:v>
                </c:pt>
                <c:pt idx="110">
                  <c:v>25395.98153063259</c:v>
                </c:pt>
                <c:pt idx="111">
                  <c:v>27371.34673031955</c:v>
                </c:pt>
                <c:pt idx="112">
                  <c:v>29443.01418634448</c:v>
                </c:pt>
                <c:pt idx="113">
                  <c:v>31613.02855710473</c:v>
                </c:pt>
                <c:pt idx="114">
                  <c:v>33883.42449895911</c:v>
                </c:pt>
                <c:pt idx="115">
                  <c:v>36256.22696350946</c:v>
                </c:pt>
                <c:pt idx="116">
                  <c:v>38733.4514790207</c:v>
                </c:pt>
                <c:pt idx="117">
                  <c:v>41317.10441718431</c:v>
                </c:pt>
                <c:pt idx="118">
                  <c:v>44009.18324630993</c:v>
                </c:pt>
                <c:pt idx="119">
                  <c:v>46811.67677192909</c:v>
                </c:pt>
                <c:pt idx="120">
                  <c:v>49726.56536570138</c:v>
                </c:pt>
                <c:pt idx="121">
                  <c:v>52755.82118343539</c:v>
                </c:pt>
                <c:pt idx="122">
                  <c:v>55901.40837295883</c:v>
                </c:pt>
                <c:pt idx="123">
                  <c:v>59165.28327251693</c:v>
                </c:pt>
                <c:pt idx="124">
                  <c:v>62549.39460030914</c:v>
                </c:pt>
                <c:pt idx="125">
                  <c:v>66055.68363573476</c:v>
                </c:pt>
                <c:pt idx="126">
                  <c:v>69686.08439286064</c:v>
                </c:pt>
                <c:pt idx="127">
                  <c:v>73442.52378659184</c:v>
                </c:pt>
                <c:pt idx="128">
                  <c:v>77326.9217919802</c:v>
                </c:pt>
                <c:pt idx="129">
                  <c:v>81341.19159707939</c:v>
                </c:pt>
                <c:pt idx="130">
                  <c:v>85487.2397497171</c:v>
                </c:pt>
                <c:pt idx="131">
                  <c:v>89766.96629853368</c:v>
                </c:pt>
                <c:pt idx="132">
                  <c:v>94182.26492860518</c:v>
                </c:pt>
                <c:pt idx="133">
                  <c:v>98735.02309194962</c:v>
                </c:pt>
                <c:pt idx="134">
                  <c:v>103427.1221331942</c:v>
                </c:pt>
                <c:pt idx="135">
                  <c:v>108260.4374106563</c:v>
                </c:pt>
                <c:pt idx="136">
                  <c:v>113236.8384130838</c:v>
                </c:pt>
                <c:pt idx="137">
                  <c:v>118358.1888722736</c:v>
                </c:pt>
                <c:pt idx="138">
                  <c:v>123626.3468717764</c:v>
                </c:pt>
                <c:pt idx="139">
                  <c:v>129043.1649518874</c:v>
                </c:pt>
                <c:pt idx="140">
                  <c:v>134610.4902110998</c:v>
                </c:pt>
                <c:pt idx="141">
                  <c:v>140330.1644041944</c:v>
                </c:pt>
                <c:pt idx="142">
                  <c:v>146204.0240371266</c:v>
                </c:pt>
                <c:pt idx="143">
                  <c:v>152233.9004588567</c:v>
                </c:pt>
                <c:pt idx="144">
                  <c:v>158421.6199502706</c:v>
                </c:pt>
                <c:pt idx="145">
                  <c:v>164769.0038103173</c:v>
                </c:pt>
                <c:pt idx="146">
                  <c:v>171277.8684394935</c:v>
                </c:pt>
                <c:pt idx="147">
                  <c:v>177950.0254207883</c:v>
                </c:pt>
                <c:pt idx="148">
                  <c:v>184787.2815982016</c:v>
                </c:pt>
                <c:pt idx="149">
                  <c:v>191791.4391529426</c:v>
                </c:pt>
                <c:pt idx="150">
                  <c:v>198964.2956773988</c:v>
                </c:pt>
                <c:pt idx="151">
                  <c:v>206307.6442469803</c:v>
                </c:pt>
                <c:pt idx="152">
                  <c:v>213823.2734899202</c:v>
                </c:pt>
                <c:pt idx="153">
                  <c:v>221512.9676551137</c:v>
                </c:pt>
                <c:pt idx="154">
                  <c:v>229378.5066780812</c:v>
                </c:pt>
                <c:pt idx="155">
                  <c:v>237421.666245122</c:v>
                </c:pt>
                <c:pt idx="156">
                  <c:v>245644.2178557416</c:v>
                </c:pt>
                <c:pt idx="157">
                  <c:v>254047.9288834031</c:v>
                </c:pt>
                <c:pt idx="158">
                  <c:v>262634.5626346864</c:v>
                </c:pt>
                <c:pt idx="159">
                  <c:v>271405.8784068939</c:v>
                </c:pt>
                <c:pt idx="160">
                  <c:v>280363.631544188</c:v>
                </c:pt>
                <c:pt idx="161">
                  <c:v>289509.5734922825</c:v>
                </c:pt>
                <c:pt idx="162">
                  <c:v>298845.4518517707</c:v>
                </c:pt>
                <c:pt idx="163">
                  <c:v>308373.0104301233</c:v>
                </c:pt>
                <c:pt idx="164">
                  <c:v>318093.9892924048</c:v>
                </c:pt>
                <c:pt idx="165">
                  <c:v>328010.1248107582</c:v>
                </c:pt>
                <c:pt idx="166">
                  <c:v>338123.1497126984</c:v>
                </c:pt>
                <c:pt idx="167">
                  <c:v>348434.7931282589</c:v>
                </c:pt>
                <c:pt idx="168">
                  <c:v>358946.7806360274</c:v>
                </c:pt>
                <c:pt idx="169">
                  <c:v>369660.8343081051</c:v>
                </c:pt>
                <c:pt idx="170">
                  <c:v>380578.6727540375</c:v>
                </c:pt>
                <c:pt idx="171">
                  <c:v>391702.0111637371</c:v>
                </c:pt>
                <c:pt idx="172">
                  <c:v>403032.5613494395</c:v>
                </c:pt>
                <c:pt idx="173">
                  <c:v>414572.0317867263</c:v>
                </c:pt>
                <c:pt idx="174">
                  <c:v>426322.1276546303</c:v>
                </c:pt>
                <c:pt idx="175">
                  <c:v>438284.5508748744</c:v>
                </c:pt>
                <c:pt idx="176">
                  <c:v>450461.0001502561</c:v>
                </c:pt>
                <c:pt idx="177">
                  <c:v>462853.1710021973</c:v>
                </c:pt>
                <c:pt idx="178">
                  <c:v>475462.755807518</c:v>
                </c:pt>
                <c:pt idx="179">
                  <c:v>488291.4438344152</c:v>
                </c:pt>
                <c:pt idx="180">
                  <c:v>501340.9212777016</c:v>
                </c:pt>
                <c:pt idx="181">
                  <c:v>514612.8712933163</c:v>
                </c:pt>
                <c:pt idx="182">
                  <c:v>528108.974032121</c:v>
                </c:pt>
                <c:pt idx="183">
                  <c:v>541830.9066730302</c:v>
                </c:pt>
                <c:pt idx="184">
                  <c:v>555780.343455448</c:v>
                </c:pt>
                <c:pt idx="185">
                  <c:v>569958.9557110893</c:v>
                </c:pt>
                <c:pt idx="186">
                  <c:v>584368.4118951468</c:v>
                </c:pt>
                <c:pt idx="187">
                  <c:v>599010.377616866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659960"/>
        <c:axId val="2097702744"/>
      </c:lineChart>
      <c:dateAx>
        <c:axId val="2097659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 b="0" i="1"/>
                  <a:t>Source: BI Intelligence</a:t>
                </a:r>
              </a:p>
            </c:rich>
          </c:tx>
          <c:layout>
            <c:manualLayout>
              <c:xMode val="edge"/>
              <c:yMode val="edge"/>
              <c:x val="0.000649928774928775"/>
              <c:y val="0.967948717948718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7702744"/>
        <c:crosses val="autoZero"/>
        <c:auto val="0"/>
        <c:lblOffset val="100"/>
        <c:baseTimeUnit val="days"/>
        <c:majorUnit val="1.0"/>
        <c:majorTimeUnit val="months"/>
        <c:minorUnit val="1.0"/>
        <c:minorTimeUnit val="months"/>
      </c:dateAx>
      <c:valAx>
        <c:axId val="20977027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2000"/>
                  <a:t>Weekly Rides Facilitated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7659960"/>
        <c:crosses val="autoZero"/>
        <c:crossBetween val="between"/>
      </c:valAx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379783354517792"/>
          <c:y val="0.941447757064555"/>
          <c:w val="0.353727398658501"/>
          <c:h val="0.0382819802439225"/>
        </c:manualLayout>
      </c:layout>
      <c:overlay val="0"/>
      <c:txPr>
        <a:bodyPr/>
        <a:lstStyle/>
        <a:p>
          <a:pPr>
            <a:defRPr sz="2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200"/>
            </a:pPr>
            <a:r>
              <a:rPr lang="en-US" sz="4200"/>
              <a:t>Apple App Store</a:t>
            </a:r>
            <a:r>
              <a:rPr lang="en-US" sz="4200" baseline="0"/>
              <a:t> Cumulative Revenue </a:t>
            </a:r>
          </a:p>
          <a:p>
            <a:pPr>
              <a:defRPr sz="4200"/>
            </a:pPr>
            <a:r>
              <a:rPr lang="en-US" sz="4200" baseline="0"/>
              <a:t>And Developer Payouts</a:t>
            </a:r>
            <a:endParaRPr lang="en-US" sz="4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555636137588"/>
          <c:y val="0.141764618232405"/>
          <c:w val="0.799615753211769"/>
          <c:h val="0.725981090772034"/>
        </c:manualLayout>
      </c:layout>
      <c:areaChart>
        <c:grouping val="standard"/>
        <c:varyColors val="0"/>
        <c:ser>
          <c:idx val="1"/>
          <c:order val="0"/>
          <c:spPr>
            <a:solidFill>
              <a:schemeClr val="accent3">
                <a:lumMod val="50000"/>
              </a:schemeClr>
            </a:solidFill>
          </c:spPr>
          <c:dLbls>
            <c:dLbl>
              <c:idx val="0"/>
              <c:layout>
                <c:manualLayout>
                  <c:x val="0.163126293715603"/>
                  <c:y val="-0.290072645970128"/>
                </c:manualLayout>
              </c:layout>
              <c:tx>
                <c:rich>
                  <a:bodyPr/>
                  <a:lstStyle/>
                  <a:p>
                    <a:r>
                      <a:rPr lang="en-US" sz="2200" b="1"/>
                      <a:t>Cumulative </a:t>
                    </a:r>
                  </a:p>
                  <a:p>
                    <a:r>
                      <a:rPr lang="en-US" sz="2200" b="1"/>
                      <a:t>Revenue</a:t>
                    </a:r>
                    <a:endParaRPr lang="en-US" sz="1500" b="1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2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'mobile app revenue'!$E$50:$O$50</c:f>
              <c:numCache>
                <c:formatCode>m/d/yy</c:formatCode>
                <c:ptCount val="11"/>
                <c:pt idx="0">
                  <c:v>40336.0</c:v>
                </c:pt>
                <c:pt idx="1">
                  <c:v>40550.0</c:v>
                </c:pt>
                <c:pt idx="2">
                  <c:v>40700.0</c:v>
                </c:pt>
                <c:pt idx="3">
                  <c:v>40932.0</c:v>
                </c:pt>
                <c:pt idx="4">
                  <c:v>41071.0</c:v>
                </c:pt>
                <c:pt idx="5">
                  <c:v>41281.0</c:v>
                </c:pt>
                <c:pt idx="6">
                  <c:v>41318.0</c:v>
                </c:pt>
                <c:pt idx="7">
                  <c:v>41387.0</c:v>
                </c:pt>
                <c:pt idx="8">
                  <c:v>41435.0</c:v>
                </c:pt>
                <c:pt idx="9">
                  <c:v>41569.0</c:v>
                </c:pt>
                <c:pt idx="10">
                  <c:v>41646.0</c:v>
                </c:pt>
              </c:numCache>
            </c:numRef>
          </c:cat>
          <c:val>
            <c:numRef>
              <c:f>'mobile app revenue'!$E$52:$O$52</c:f>
              <c:numCache>
                <c:formatCode>"$"#,##0</c:formatCode>
                <c:ptCount val="11"/>
                <c:pt idx="0">
                  <c:v>1428.571428571429</c:v>
                </c:pt>
                <c:pt idx="1">
                  <c:v>2857.142857142857</c:v>
                </c:pt>
                <c:pt idx="2">
                  <c:v>3571.428571428572</c:v>
                </c:pt>
                <c:pt idx="3">
                  <c:v>5714.285714285715</c:v>
                </c:pt>
                <c:pt idx="4">
                  <c:v>7142.857142857143</c:v>
                </c:pt>
                <c:pt idx="5">
                  <c:v>10000.0</c:v>
                </c:pt>
                <c:pt idx="6">
                  <c:v>11428.57142857143</c:v>
                </c:pt>
                <c:pt idx="7">
                  <c:v>12857.14285714286</c:v>
                </c:pt>
                <c:pt idx="8">
                  <c:v>14285.71428571429</c:v>
                </c:pt>
                <c:pt idx="9">
                  <c:v>18571.42857142857</c:v>
                </c:pt>
                <c:pt idx="10">
                  <c:v>21428.57142857143</c:v>
                </c:pt>
              </c:numCache>
            </c:numRef>
          </c:val>
        </c:ser>
        <c:ser>
          <c:idx val="0"/>
          <c:order val="1"/>
          <c:spPr>
            <a:solidFill>
              <a:schemeClr val="accent3"/>
            </a:solidFill>
          </c:spPr>
          <c:dLbls>
            <c:dLbl>
              <c:idx val="0"/>
              <c:layout>
                <c:manualLayout>
                  <c:x val="0.0704375804573061"/>
                  <c:y val="-0.00830289616605185"/>
                </c:manualLayout>
              </c:layout>
              <c:tx>
                <c:rich>
                  <a:bodyPr/>
                  <a:lstStyle/>
                  <a:p>
                    <a:r>
                      <a:rPr lang="en-US" sz="2200" b="1"/>
                      <a:t>Payments To</a:t>
                    </a:r>
                    <a:r>
                      <a:rPr lang="en-US" sz="2200" b="1" baseline="0"/>
                      <a:t> Developers</a:t>
                    </a:r>
                    <a:endParaRPr lang="en-US" sz="1400" b="1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2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'mobile app revenue'!$E$50:$O$50</c:f>
              <c:numCache>
                <c:formatCode>m/d/yy</c:formatCode>
                <c:ptCount val="11"/>
                <c:pt idx="0">
                  <c:v>40336.0</c:v>
                </c:pt>
                <c:pt idx="1">
                  <c:v>40550.0</c:v>
                </c:pt>
                <c:pt idx="2">
                  <c:v>40700.0</c:v>
                </c:pt>
                <c:pt idx="3">
                  <c:v>40932.0</c:v>
                </c:pt>
                <c:pt idx="4">
                  <c:v>41071.0</c:v>
                </c:pt>
                <c:pt idx="5">
                  <c:v>41281.0</c:v>
                </c:pt>
                <c:pt idx="6">
                  <c:v>41318.0</c:v>
                </c:pt>
                <c:pt idx="7">
                  <c:v>41387.0</c:v>
                </c:pt>
                <c:pt idx="8">
                  <c:v>41435.0</c:v>
                </c:pt>
                <c:pt idx="9">
                  <c:v>41569.0</c:v>
                </c:pt>
                <c:pt idx="10">
                  <c:v>41646.0</c:v>
                </c:pt>
              </c:numCache>
            </c:numRef>
          </c:cat>
          <c:val>
            <c:numRef>
              <c:f>'mobile app revenue'!$E$51:$O$51</c:f>
              <c:numCache>
                <c:formatCode>General</c:formatCode>
                <c:ptCount val="11"/>
                <c:pt idx="0">
                  <c:v>1000.0</c:v>
                </c:pt>
                <c:pt idx="1">
                  <c:v>2000.0</c:v>
                </c:pt>
                <c:pt idx="2">
                  <c:v>2500.0</c:v>
                </c:pt>
                <c:pt idx="3">
                  <c:v>4000.0</c:v>
                </c:pt>
                <c:pt idx="4">
                  <c:v>5000.0</c:v>
                </c:pt>
                <c:pt idx="5">
                  <c:v>7000.0</c:v>
                </c:pt>
                <c:pt idx="6">
                  <c:v>8000.0</c:v>
                </c:pt>
                <c:pt idx="7">
                  <c:v>9000.0</c:v>
                </c:pt>
                <c:pt idx="8">
                  <c:v>10000.0</c:v>
                </c:pt>
                <c:pt idx="9">
                  <c:v>13000.0</c:v>
                </c:pt>
                <c:pt idx="10">
                  <c:v>15000.0</c:v>
                </c:pt>
              </c:numCache>
            </c:numRef>
          </c:val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2068686568"/>
        <c:axId val="2068689608"/>
      </c:areaChart>
      <c:dateAx>
        <c:axId val="2068686568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68689608"/>
        <c:crosses val="autoZero"/>
        <c:auto val="1"/>
        <c:lblOffset val="100"/>
        <c:baseTimeUnit val="months"/>
        <c:majorUnit val="3.0"/>
        <c:majorTimeUnit val="months"/>
      </c:dateAx>
      <c:valAx>
        <c:axId val="20686896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/>
                  <a:t>(millions)</a:t>
                </a:r>
              </a:p>
            </c:rich>
          </c:tx>
          <c:overlay val="0"/>
        </c:title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68686568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400">
                <a:solidFill>
                  <a:srgbClr val="000000"/>
                </a:solidFill>
              </a:defRPr>
            </a:pPr>
            <a:r>
              <a:rPr lang="en-US" sz="4400">
                <a:solidFill>
                  <a:srgbClr val="000000"/>
                </a:solidFill>
              </a:rPr>
              <a:t>Global Computer </a:t>
            </a:r>
            <a:r>
              <a:rPr lang="en-US" sz="4400" baseline="0">
                <a:solidFill>
                  <a:srgbClr val="000000"/>
                </a:solidFill>
              </a:rPr>
              <a:t>Shipments</a:t>
            </a:r>
            <a:endParaRPr lang="en-US" sz="4400">
              <a:solidFill>
                <a:srgbClr val="000000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687299009987"/>
          <c:y val="0.100278631368717"/>
          <c:w val="0.85121636541283"/>
          <c:h val="0.788570409712398"/>
        </c:manualLayout>
      </c:layout>
      <c:areaChart>
        <c:grouping val="stacked"/>
        <c:varyColors val="0"/>
        <c:ser>
          <c:idx val="0"/>
          <c:order val="0"/>
          <c:tx>
            <c:strRef>
              <c:f>'Tablet and PCs'!$B$12</c:f>
              <c:strCache>
                <c:ptCount val="1"/>
                <c:pt idx="0">
                  <c:v>PC Shipments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dLbl>
              <c:idx val="0"/>
              <c:layout>
                <c:manualLayout>
                  <c:x val="0.00148291414347463"/>
                  <c:y val="-0.00902491480515955"/>
                </c:manualLayout>
              </c:layout>
              <c:tx>
                <c:rich>
                  <a:bodyPr/>
                  <a:lstStyle/>
                  <a:p>
                    <a:r>
                      <a:rPr lang="en-US" sz="2600" b="1">
                        <a:solidFill>
                          <a:srgbClr val="000000"/>
                        </a:solidFill>
                      </a:rPr>
                      <a:t>PCs</a:t>
                    </a:r>
                    <a:endParaRPr lang="en-US" sz="1600" b="1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6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'Tablet and PCs'!$C$4:$Z$4</c:f>
              <c:strCache>
                <c:ptCount val="24"/>
                <c:pt idx="0">
                  <c:v>1Q08</c:v>
                </c:pt>
                <c:pt idx="1">
                  <c:v>2Q08</c:v>
                </c:pt>
                <c:pt idx="2">
                  <c:v>3Q08</c:v>
                </c:pt>
                <c:pt idx="3">
                  <c:v>4Q08</c:v>
                </c:pt>
                <c:pt idx="4">
                  <c:v>1Q09</c:v>
                </c:pt>
                <c:pt idx="5">
                  <c:v>2Q09</c:v>
                </c:pt>
                <c:pt idx="6">
                  <c:v>3Q09</c:v>
                </c:pt>
                <c:pt idx="7">
                  <c:v>4Q09</c:v>
                </c:pt>
                <c:pt idx="8">
                  <c:v>1Q10</c:v>
                </c:pt>
                <c:pt idx="9">
                  <c:v>2Q10</c:v>
                </c:pt>
                <c:pt idx="10">
                  <c:v>3Q10</c:v>
                </c:pt>
                <c:pt idx="11">
                  <c:v>4Q10</c:v>
                </c:pt>
                <c:pt idx="12">
                  <c:v>1Q11</c:v>
                </c:pt>
                <c:pt idx="13">
                  <c:v>2Q11</c:v>
                </c:pt>
                <c:pt idx="14">
                  <c:v>3Q11</c:v>
                </c:pt>
                <c:pt idx="15">
                  <c:v>4Q11</c:v>
                </c:pt>
                <c:pt idx="16">
                  <c:v>1Q12</c:v>
                </c:pt>
                <c:pt idx="17">
                  <c:v>2Q12</c:v>
                </c:pt>
                <c:pt idx="18">
                  <c:v>3Q12</c:v>
                </c:pt>
                <c:pt idx="19">
                  <c:v>4Q12</c:v>
                </c:pt>
                <c:pt idx="20">
                  <c:v>1Q13</c:v>
                </c:pt>
                <c:pt idx="21">
                  <c:v>2Q13</c:v>
                </c:pt>
                <c:pt idx="22">
                  <c:v>3Q13</c:v>
                </c:pt>
                <c:pt idx="23">
                  <c:v>4Q13</c:v>
                </c:pt>
              </c:strCache>
            </c:strRef>
          </c:cat>
          <c:val>
            <c:numRef>
              <c:f>'Tablet and PCs'!$C$12:$Z$12</c:f>
              <c:numCache>
                <c:formatCode>#,##0</c:formatCode>
                <c:ptCount val="24"/>
                <c:pt idx="0">
                  <c:v>71844.0</c:v>
                </c:pt>
                <c:pt idx="1">
                  <c:v>71741.0</c:v>
                </c:pt>
                <c:pt idx="2">
                  <c:v>80470.0</c:v>
                </c:pt>
                <c:pt idx="3">
                  <c:v>73724.7</c:v>
                </c:pt>
                <c:pt idx="4">
                  <c:v>66219.0</c:v>
                </c:pt>
                <c:pt idx="5">
                  <c:v>68631.5</c:v>
                </c:pt>
                <c:pt idx="6">
                  <c:v>82052.025</c:v>
                </c:pt>
                <c:pt idx="7">
                  <c:v>90150.09950000001</c:v>
                </c:pt>
                <c:pt idx="8">
                  <c:v>84190.2585</c:v>
                </c:pt>
                <c:pt idx="9">
                  <c:v>82800.44100000001</c:v>
                </c:pt>
                <c:pt idx="10">
                  <c:v>88815.774</c:v>
                </c:pt>
                <c:pt idx="11">
                  <c:v>93155.7875</c:v>
                </c:pt>
                <c:pt idx="12">
                  <c:v>86210.59349999999</c:v>
                </c:pt>
                <c:pt idx="13">
                  <c:v>84816.9335</c:v>
                </c:pt>
                <c:pt idx="14">
                  <c:v>91833.2865</c:v>
                </c:pt>
                <c:pt idx="15">
                  <c:v>92526.64000000001</c:v>
                </c:pt>
                <c:pt idx="16">
                  <c:v>88045.4905</c:v>
                </c:pt>
                <c:pt idx="17">
                  <c:v>87099.6365</c:v>
                </c:pt>
                <c:pt idx="18">
                  <c:v>87650.025</c:v>
                </c:pt>
                <c:pt idx="19">
                  <c:v>90080.971</c:v>
                </c:pt>
                <c:pt idx="20" formatCode="General">
                  <c:v>79200.0</c:v>
                </c:pt>
                <c:pt idx="21" formatCode="General">
                  <c:v>75632.0</c:v>
                </c:pt>
                <c:pt idx="22" formatCode="_(* #,##0_);_(* \(#,##0\);_(* &quot;-&quot;??_);_(@_)">
                  <c:v>80944.0</c:v>
                </c:pt>
                <c:pt idx="23" formatCode="General">
                  <c:v>82556.0</c:v>
                </c:pt>
              </c:numCache>
            </c:numRef>
          </c:val>
        </c:ser>
        <c:ser>
          <c:idx val="1"/>
          <c:order val="1"/>
          <c:tx>
            <c:strRef>
              <c:f>'Tablet and PCs'!$B$13</c:f>
              <c:strCache>
                <c:ptCount val="1"/>
                <c:pt idx="0">
                  <c:v>Tablet Shipments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dLbls>
            <c:dLbl>
              <c:idx val="0"/>
              <c:layout>
                <c:manualLayout>
                  <c:x val="0.333367569185379"/>
                  <c:y val="-0.0450214056892497"/>
                </c:manualLayout>
              </c:layout>
              <c:tx>
                <c:rich>
                  <a:bodyPr/>
                  <a:lstStyle/>
                  <a:p>
                    <a:r>
                      <a:rPr lang="en-US" sz="2600" b="1">
                        <a:solidFill>
                          <a:srgbClr val="000000"/>
                        </a:solidFill>
                      </a:rPr>
                      <a:t>Tablets</a:t>
                    </a:r>
                    <a:endParaRPr lang="en-US" sz="1600" b="1">
                      <a:solidFill>
                        <a:srgbClr val="FFFFFF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6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'Tablet and PCs'!$C$4:$Z$4</c:f>
              <c:strCache>
                <c:ptCount val="24"/>
                <c:pt idx="0">
                  <c:v>1Q08</c:v>
                </c:pt>
                <c:pt idx="1">
                  <c:v>2Q08</c:v>
                </c:pt>
                <c:pt idx="2">
                  <c:v>3Q08</c:v>
                </c:pt>
                <c:pt idx="3">
                  <c:v>4Q08</c:v>
                </c:pt>
                <c:pt idx="4">
                  <c:v>1Q09</c:v>
                </c:pt>
                <c:pt idx="5">
                  <c:v>2Q09</c:v>
                </c:pt>
                <c:pt idx="6">
                  <c:v>3Q09</c:v>
                </c:pt>
                <c:pt idx="7">
                  <c:v>4Q09</c:v>
                </c:pt>
                <c:pt idx="8">
                  <c:v>1Q10</c:v>
                </c:pt>
                <c:pt idx="9">
                  <c:v>2Q10</c:v>
                </c:pt>
                <c:pt idx="10">
                  <c:v>3Q10</c:v>
                </c:pt>
                <c:pt idx="11">
                  <c:v>4Q10</c:v>
                </c:pt>
                <c:pt idx="12">
                  <c:v>1Q11</c:v>
                </c:pt>
                <c:pt idx="13">
                  <c:v>2Q11</c:v>
                </c:pt>
                <c:pt idx="14">
                  <c:v>3Q11</c:v>
                </c:pt>
                <c:pt idx="15">
                  <c:v>4Q11</c:v>
                </c:pt>
                <c:pt idx="16">
                  <c:v>1Q12</c:v>
                </c:pt>
                <c:pt idx="17">
                  <c:v>2Q12</c:v>
                </c:pt>
                <c:pt idx="18">
                  <c:v>3Q12</c:v>
                </c:pt>
                <c:pt idx="19">
                  <c:v>4Q12</c:v>
                </c:pt>
                <c:pt idx="20">
                  <c:v>1Q13</c:v>
                </c:pt>
                <c:pt idx="21">
                  <c:v>2Q13</c:v>
                </c:pt>
                <c:pt idx="22">
                  <c:v>3Q13</c:v>
                </c:pt>
                <c:pt idx="23">
                  <c:v>4Q13</c:v>
                </c:pt>
              </c:strCache>
            </c:strRef>
          </c:cat>
          <c:val>
            <c:numRef>
              <c:f>'Tablet and PCs'!$C$13:$Z$13</c:f>
              <c:numCache>
                <c:formatCode>_(* #,##0_);_(* \(#,##0\);_(* "-"??_);_(@_)</c:formatCode>
                <c:ptCount val="2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3370.0</c:v>
                </c:pt>
                <c:pt idx="10">
                  <c:v>4290.0</c:v>
                </c:pt>
                <c:pt idx="11">
                  <c:v>9464.0</c:v>
                </c:pt>
                <c:pt idx="12">
                  <c:v>7138.0</c:v>
                </c:pt>
                <c:pt idx="13">
                  <c:v>13394.8</c:v>
                </c:pt>
                <c:pt idx="14">
                  <c:v>15820.0</c:v>
                </c:pt>
                <c:pt idx="15">
                  <c:v>28309.0</c:v>
                </c:pt>
                <c:pt idx="16">
                  <c:v>16731.5</c:v>
                </c:pt>
                <c:pt idx="17">
                  <c:v>24602.0</c:v>
                </c:pt>
                <c:pt idx="18">
                  <c:v>27245.677</c:v>
                </c:pt>
                <c:pt idx="19" formatCode="#,##0">
                  <c:v>52500.0</c:v>
                </c:pt>
                <c:pt idx="20" formatCode="General">
                  <c:v>49200.0</c:v>
                </c:pt>
                <c:pt idx="21" formatCode="General">
                  <c:v>51617.0</c:v>
                </c:pt>
                <c:pt idx="22">
                  <c:v>51700.0</c:v>
                </c:pt>
                <c:pt idx="23" formatCode="General">
                  <c:v>76820.0</c:v>
                </c:pt>
              </c:numCache>
            </c:numRef>
          </c:val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2068084888"/>
        <c:axId val="2068359784"/>
      </c:areaChart>
      <c:catAx>
        <c:axId val="2068084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solidFill>
                      <a:srgbClr val="000000"/>
                    </a:solidFill>
                  </a:defRPr>
                </a:pPr>
                <a:r>
                  <a:rPr lang="en-US" sz="1800" b="0" i="1">
                    <a:solidFill>
                      <a:srgbClr val="000000"/>
                    </a:solidFill>
                    <a:effectLst/>
                  </a:rPr>
                  <a:t>Source: Gartner, IDC, Strategy</a:t>
                </a:r>
                <a:r>
                  <a:rPr lang="en-US" sz="1800" b="0" i="1" baseline="0">
                    <a:solidFill>
                      <a:srgbClr val="000000"/>
                    </a:solidFill>
                    <a:effectLst/>
                  </a:rPr>
                  <a:t> Analytics</a:t>
                </a:r>
                <a:r>
                  <a:rPr lang="en-US" sz="1800" b="0" i="1">
                    <a:solidFill>
                      <a:srgbClr val="000000"/>
                    </a:solidFill>
                    <a:effectLst/>
                  </a:rPr>
                  <a:t> company releases</a:t>
                </a:r>
                <a:endParaRPr lang="en-US" b="0">
                  <a:solidFill>
                    <a:srgbClr val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00043258881007213"/>
              <c:y val="0.968375265441063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68359784"/>
        <c:crosses val="autoZero"/>
        <c:auto val="1"/>
        <c:lblAlgn val="ctr"/>
        <c:lblOffset val="100"/>
        <c:tickLblSkip val="1"/>
        <c:noMultiLvlLbl val="0"/>
      </c:catAx>
      <c:valAx>
        <c:axId val="20683597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r>
                  <a:rPr lang="en-US" sz="2000">
                    <a:solidFill>
                      <a:srgbClr val="000000"/>
                    </a:solidFill>
                  </a:rPr>
                  <a:t>(Thousands)</a:t>
                </a:r>
              </a:p>
            </c:rich>
          </c:tx>
          <c:layout>
            <c:manualLayout>
              <c:xMode val="edge"/>
              <c:yMode val="edge"/>
              <c:x val="0.00297515476368545"/>
              <c:y val="0.42470873915981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68084888"/>
        <c:crosses val="autoZero"/>
        <c:crossBetween val="midCat"/>
      </c:valAx>
      <c:spPr>
        <a:noFill/>
      </c:spPr>
    </c:plotArea>
    <c:plotVisOnly val="1"/>
    <c:dispBlanksAs val="zero"/>
    <c:showDLblsOverMax val="0"/>
  </c:chart>
  <c:spPr>
    <a:solidFill>
      <a:srgbClr val="FFFFFF"/>
    </a:solidFill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400"/>
            </a:pPr>
            <a:r>
              <a:rPr lang="en-US" sz="4400"/>
              <a:t>Apple App Store Revenues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0702107576237"/>
          <c:y val="0.115034483377699"/>
          <c:w val="0.821423954400346"/>
          <c:h val="0.763265599618792"/>
        </c:manualLayout>
      </c:layout>
      <c:areaChart>
        <c:grouping val="standar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</c:spPr>
          <c:cat>
            <c:strRef>
              <c:f>'mobile app revenue'!$D$55:$M$55</c:f>
              <c:strCache>
                <c:ptCount val="10"/>
                <c:pt idx="0">
                  <c:v>1H2009</c:v>
                </c:pt>
                <c:pt idx="1">
                  <c:v>2H2009</c:v>
                </c:pt>
                <c:pt idx="2">
                  <c:v>1H2010</c:v>
                </c:pt>
                <c:pt idx="3">
                  <c:v>2H2010</c:v>
                </c:pt>
                <c:pt idx="4">
                  <c:v>1H2011</c:v>
                </c:pt>
                <c:pt idx="5">
                  <c:v>2H2011</c:v>
                </c:pt>
                <c:pt idx="6">
                  <c:v>1H2012</c:v>
                </c:pt>
                <c:pt idx="7">
                  <c:v>2H2012</c:v>
                </c:pt>
                <c:pt idx="8">
                  <c:v>1H2013</c:v>
                </c:pt>
                <c:pt idx="9">
                  <c:v>4 mos. June-Oct 2013</c:v>
                </c:pt>
              </c:strCache>
            </c:strRef>
          </c:cat>
          <c:val>
            <c:numRef>
              <c:f>'mobile app revenue'!$D$56:$M$56</c:f>
              <c:numCache>
                <c:formatCode>"$"#,##0</c:formatCode>
                <c:ptCount val="10"/>
                <c:pt idx="0">
                  <c:v>230.7</c:v>
                </c:pt>
                <c:pt idx="1">
                  <c:v>538.3</c:v>
                </c:pt>
                <c:pt idx="2">
                  <c:v>659.5714285714287</c:v>
                </c:pt>
                <c:pt idx="3">
                  <c:v>1428.571428571429</c:v>
                </c:pt>
                <c:pt idx="4">
                  <c:v>714.2857142857142</c:v>
                </c:pt>
                <c:pt idx="5">
                  <c:v>2142.857142857143</c:v>
                </c:pt>
                <c:pt idx="6">
                  <c:v>1428.571428571428</c:v>
                </c:pt>
                <c:pt idx="7">
                  <c:v>2857.142857142857</c:v>
                </c:pt>
                <c:pt idx="8">
                  <c:v>4285.714285714286</c:v>
                </c:pt>
                <c:pt idx="9">
                  <c:v>4285.714285714286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7741896"/>
        <c:axId val="2097744680"/>
      </c:areaChart>
      <c:catAx>
        <c:axId val="20977418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2200"/>
            </a:pPr>
            <a:endParaRPr lang="en-US"/>
          </a:p>
        </c:txPr>
        <c:crossAx val="2097744680"/>
        <c:crosses val="autoZero"/>
        <c:auto val="1"/>
        <c:lblAlgn val="ctr"/>
        <c:lblOffset val="100"/>
        <c:noMultiLvlLbl val="0"/>
      </c:catAx>
      <c:valAx>
        <c:axId val="20977446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200"/>
                </a:pPr>
                <a:r>
                  <a:rPr lang="en-US" sz="2200"/>
                  <a:t>(millions)</a:t>
                </a:r>
              </a:p>
            </c:rich>
          </c:tx>
          <c:overlay val="0"/>
        </c:title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2200"/>
            </a:pPr>
            <a:endParaRPr lang="en-US"/>
          </a:p>
        </c:txPr>
        <c:crossAx val="2097741896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3000"/>
            </a:pPr>
            <a:r>
              <a:rPr lang="en-US" sz="3000"/>
              <a:t>App Store Estimated Revenues By Platform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1328763511732"/>
          <c:y val="0.127774839610785"/>
          <c:w val="0.840651524316577"/>
          <c:h val="0.761191098658835"/>
        </c:manualLayout>
      </c:layout>
      <c:areaChart>
        <c:grouping val="stacked"/>
        <c:varyColors val="0"/>
        <c:ser>
          <c:idx val="1"/>
          <c:order val="0"/>
          <c:tx>
            <c:strRef>
              <c:f>'mobile app revenue'!$C$31</c:f>
              <c:strCache>
                <c:ptCount val="1"/>
                <c:pt idx="0">
                  <c:v>App Store Revenue</c:v>
                </c:pt>
              </c:strCache>
            </c:strRef>
          </c:tx>
          <c:spPr>
            <a:solidFill>
              <a:schemeClr val="accent4"/>
            </a:solidFill>
          </c:spPr>
          <c:dLbls>
            <c:dLbl>
              <c:idx val="0"/>
              <c:layout>
                <c:manualLayout>
                  <c:x val="0.212500006880051"/>
                  <c:y val="-0.063464407045049"/>
                </c:manualLayout>
              </c:layout>
              <c:tx>
                <c:rich>
                  <a:bodyPr/>
                  <a:lstStyle/>
                  <a:p>
                    <a:r>
                      <a:rPr lang="en-US" sz="1600" b="1"/>
                      <a:t>Apple</a:t>
                    </a:r>
                    <a:r>
                      <a:rPr lang="en-US" sz="1600" b="1" baseline="0"/>
                      <a:t> </a:t>
                    </a:r>
                  </a:p>
                  <a:p>
                    <a:r>
                      <a:rPr lang="en-US" sz="1600" b="1" baseline="0"/>
                      <a:t>App Store</a:t>
                    </a:r>
                    <a:endParaRPr lang="en-US" sz="1400" b="1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'mobile app revenue'!$D$30:$H$30</c:f>
              <c:numCache>
                <c:formatCode>General</c:formatCode>
                <c:ptCount val="5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</c:numCache>
            </c:numRef>
          </c:cat>
          <c:val>
            <c:numRef>
              <c:f>'mobile app revenue'!$D$31:$H$31</c:f>
              <c:numCache>
                <c:formatCode>"$"#,##0</c:formatCode>
                <c:ptCount val="5"/>
                <c:pt idx="0">
                  <c:v>206.01</c:v>
                </c:pt>
                <c:pt idx="1">
                  <c:v>769.0</c:v>
                </c:pt>
                <c:pt idx="2">
                  <c:v>1782.0</c:v>
                </c:pt>
                <c:pt idx="3">
                  <c:v>2857.142857142857</c:v>
                </c:pt>
                <c:pt idx="4">
                  <c:v>4285.714285714285</c:v>
                </c:pt>
              </c:numCache>
            </c:numRef>
          </c:val>
        </c:ser>
        <c:ser>
          <c:idx val="2"/>
          <c:order val="1"/>
          <c:tx>
            <c:strRef>
              <c:f>'mobile app revenue'!$C$32</c:f>
              <c:strCache>
                <c:ptCount val="1"/>
                <c:pt idx="0">
                  <c:v>Android  App market</c:v>
                </c:pt>
              </c:strCache>
            </c:strRef>
          </c:tx>
          <c:spPr>
            <a:solidFill>
              <a:schemeClr val="accent2"/>
            </a:solidFill>
          </c:spPr>
          <c:dLbls>
            <c:dLbl>
              <c:idx val="0"/>
              <c:layout>
                <c:manualLayout>
                  <c:x val="0.204111848713733"/>
                  <c:y val="-0.336361357338759"/>
                </c:manualLayout>
              </c:layout>
              <c:tx>
                <c:rich>
                  <a:bodyPr/>
                  <a:lstStyle/>
                  <a:p>
                    <a:r>
                      <a:rPr lang="en-US" sz="1600" b="1"/>
                      <a:t>Android </a:t>
                    </a:r>
                    <a:endParaRPr lang="en-US" sz="1400" b="1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6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'mobile app revenue'!$D$30:$H$30</c:f>
              <c:numCache>
                <c:formatCode>General</c:formatCode>
                <c:ptCount val="5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</c:numCache>
            </c:numRef>
          </c:cat>
          <c:val>
            <c:numRef>
              <c:f>'mobile app revenue'!$D$32:$H$32</c:f>
              <c:numCache>
                <c:formatCode>"$"#,##0</c:formatCode>
                <c:ptCount val="5"/>
                <c:pt idx="1">
                  <c:v>11.0</c:v>
                </c:pt>
                <c:pt idx="2">
                  <c:v>102.0</c:v>
                </c:pt>
                <c:pt idx="3">
                  <c:v>259.0</c:v>
                </c:pt>
                <c:pt idx="4">
                  <c:v>1071.428571428571</c:v>
                </c:pt>
              </c:numCache>
            </c:numRef>
          </c:val>
        </c:ser>
        <c:ser>
          <c:idx val="3"/>
          <c:order val="2"/>
          <c:tx>
            <c:strRef>
              <c:f>'mobile app revenue'!$C$33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3"/>
            </a:solidFill>
          </c:spPr>
          <c:dLbls>
            <c:dLbl>
              <c:idx val="0"/>
              <c:layout>
                <c:manualLayout>
                  <c:x val="0.275411193127434"/>
                  <c:y val="-0.42309604696699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600" b="1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'mobile app revenue'!$D$30:$H$30</c:f>
              <c:numCache>
                <c:formatCode>General</c:formatCode>
                <c:ptCount val="5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</c:numCache>
            </c:numRef>
          </c:cat>
          <c:val>
            <c:numRef>
              <c:f>'mobile app revenue'!$D$33:$H$33</c:f>
              <c:numCache>
                <c:formatCode>"$"#,##0</c:formatCode>
                <c:ptCount val="5"/>
                <c:pt idx="0" formatCode="General">
                  <c:v>0.0</c:v>
                </c:pt>
                <c:pt idx="1">
                  <c:v>50.60000000000002</c:v>
                </c:pt>
                <c:pt idx="2">
                  <c:v>293.5</c:v>
                </c:pt>
                <c:pt idx="3">
                  <c:v>346.238095238095</c:v>
                </c:pt>
                <c:pt idx="4">
                  <c:v>535.7142857142857</c:v>
                </c:pt>
              </c:numCache>
            </c:numRef>
          </c:val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2097813048"/>
        <c:axId val="2097818984"/>
      </c:areaChart>
      <c:catAx>
        <c:axId val="2097813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 b="0" i="1"/>
                  <a:t>Source: iSuppli, Forrester</a:t>
                </a:r>
                <a:r>
                  <a:rPr lang="en-US" sz="1400" b="0" i="1" baseline="0"/>
                  <a:t> Research, company releases, BII estimates</a:t>
                </a:r>
                <a:endParaRPr lang="en-US" sz="1400" b="0" i="1"/>
              </a:p>
            </c:rich>
          </c:tx>
          <c:layout>
            <c:manualLayout>
              <c:xMode val="edge"/>
              <c:yMode val="edge"/>
              <c:x val="0.116560943216462"/>
              <c:y val="0.9496517369841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097818984"/>
        <c:crosses val="autoZero"/>
        <c:auto val="1"/>
        <c:lblAlgn val="ctr"/>
        <c:lblOffset val="100"/>
        <c:noMultiLvlLbl val="0"/>
      </c:catAx>
      <c:valAx>
        <c:axId val="2097818984"/>
        <c:scaling>
          <c:orientation val="minMax"/>
          <c:max val="600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(millions)</a:t>
                </a:r>
              </a:p>
            </c:rich>
          </c:tx>
          <c:overlay val="0"/>
        </c:title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097813048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400">
                <a:solidFill>
                  <a:schemeClr val="tx1"/>
                </a:solidFill>
              </a:defRPr>
            </a:pPr>
            <a:r>
              <a:rPr lang="en-US" sz="4400">
                <a:solidFill>
                  <a:schemeClr val="tx1"/>
                </a:solidFill>
              </a:rPr>
              <a:t>Apple App Store</a:t>
            </a:r>
            <a:r>
              <a:rPr lang="en-US" sz="4400" baseline="0">
                <a:solidFill>
                  <a:schemeClr val="tx1"/>
                </a:solidFill>
              </a:rPr>
              <a:t> Revenues</a:t>
            </a:r>
          </a:p>
          <a:p>
            <a:pPr>
              <a:defRPr sz="4400">
                <a:solidFill>
                  <a:schemeClr val="tx1"/>
                </a:solidFill>
              </a:defRPr>
            </a:pPr>
            <a:r>
              <a:rPr lang="en-US" sz="2400" b="0" i="1" baseline="0">
                <a:solidFill>
                  <a:schemeClr val="tx1"/>
                </a:solidFill>
              </a:rPr>
              <a:t>By Year</a:t>
            </a:r>
          </a:p>
        </c:rich>
      </c:tx>
      <c:layout>
        <c:manualLayout>
          <c:xMode val="edge"/>
          <c:yMode val="edge"/>
          <c:x val="0.275936100014391"/>
          <c:y val="0.026122618110884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8731451084217"/>
          <c:y val="0.143901406470182"/>
          <c:w val="0.82554099301354"/>
          <c:h val="0.753325070832124"/>
        </c:manualLayout>
      </c:layout>
      <c:areaChart>
        <c:grouping val="standard"/>
        <c:varyColors val="0"/>
        <c:ser>
          <c:idx val="1"/>
          <c:order val="0"/>
          <c:spPr>
            <a:solidFill>
              <a:schemeClr val="accent3">
                <a:lumMod val="75000"/>
              </a:schemeClr>
            </a:solidFill>
          </c:spPr>
          <c:cat>
            <c:numRef>
              <c:f>'mobile app revenue'!$D$30:$I$30</c:f>
              <c:numCache>
                <c:formatCode>General</c:formatCode>
                <c:ptCount val="6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</c:numCache>
            </c:numRef>
          </c:cat>
          <c:val>
            <c:numRef>
              <c:f>'mobile app revenue'!$D$31:$I$31</c:f>
              <c:numCache>
                <c:formatCode>"$"#,##0</c:formatCode>
                <c:ptCount val="6"/>
                <c:pt idx="0">
                  <c:v>206.01</c:v>
                </c:pt>
                <c:pt idx="1">
                  <c:v>769.0</c:v>
                </c:pt>
                <c:pt idx="2">
                  <c:v>1782.0</c:v>
                </c:pt>
                <c:pt idx="3">
                  <c:v>2857.142857142857</c:v>
                </c:pt>
                <c:pt idx="4">
                  <c:v>4285.714285714285</c:v>
                </c:pt>
                <c:pt idx="5">
                  <c:v>10125.0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7849144"/>
        <c:axId val="2097854936"/>
      </c:areaChart>
      <c:catAx>
        <c:axId val="2097849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>
                    <a:solidFill>
                      <a:srgbClr val="000000"/>
                    </a:solidFill>
                  </a:defRPr>
                </a:pPr>
                <a:r>
                  <a:rPr lang="en-US" sz="1800" b="0" i="1">
                    <a:solidFill>
                      <a:srgbClr val="000000"/>
                    </a:solidFill>
                    <a:effectLst/>
                  </a:rPr>
                  <a:t>Source: news reports, company releases</a:t>
                </a:r>
                <a:endParaRPr lang="en-US" sz="1800" b="0">
                  <a:solidFill>
                    <a:srgbClr val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000787695005560385"/>
              <c:y val="0.97069143223003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200">
                <a:solidFill>
                  <a:srgbClr val="000000"/>
                </a:solidFill>
              </a:defRPr>
            </a:pPr>
            <a:endParaRPr lang="en-US"/>
          </a:p>
        </c:txPr>
        <c:crossAx val="2097854936"/>
        <c:crosses val="autoZero"/>
        <c:auto val="1"/>
        <c:lblAlgn val="ctr"/>
        <c:lblOffset val="100"/>
        <c:noMultiLvlLbl val="0"/>
      </c:catAx>
      <c:valAx>
        <c:axId val="20978549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200">
                    <a:solidFill>
                      <a:srgbClr val="000000"/>
                    </a:solidFill>
                  </a:defRPr>
                </a:pPr>
                <a:r>
                  <a:rPr lang="en-US" sz="2200">
                    <a:solidFill>
                      <a:srgbClr val="000000"/>
                    </a:solidFill>
                  </a:rPr>
                  <a:t>(millions)</a:t>
                </a:r>
              </a:p>
            </c:rich>
          </c:tx>
          <c:layout>
            <c:manualLayout>
              <c:xMode val="edge"/>
              <c:yMode val="edge"/>
              <c:x val="0.0044556059908324"/>
              <c:y val="0.459041623409456"/>
            </c:manualLayout>
          </c:layout>
          <c:overlay val="0"/>
        </c:title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2200">
                <a:solidFill>
                  <a:srgbClr val="000000"/>
                </a:solidFill>
              </a:defRPr>
            </a:pPr>
            <a:endParaRPr lang="en-US"/>
          </a:p>
        </c:txPr>
        <c:crossAx val="2097849144"/>
        <c:crosses val="autoZero"/>
        <c:crossBetween val="midCat"/>
      </c:valAx>
      <c:spPr>
        <a:noFill/>
      </c:spPr>
    </c:plotArea>
    <c:plotVisOnly val="1"/>
    <c:dispBlanksAs val="zero"/>
    <c:showDLblsOverMax val="0"/>
  </c:chart>
  <c:spPr>
    <a:solidFill>
      <a:schemeClr val="bg1"/>
    </a:solidFill>
    <a:ln>
      <a:solidFill>
        <a:schemeClr val="bg1">
          <a:lumMod val="75000"/>
        </a:schemeClr>
      </a:solidFill>
    </a:ln>
  </c:spPr>
  <c:printSettings>
    <c:headerFooter/>
    <c:pageMargins b="1.0" l="0.75" r="0.75" t="1.0" header="0.5" footer="0.5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000">
                <a:solidFill>
                  <a:srgbClr val="000000"/>
                </a:solidFill>
              </a:defRPr>
            </a:pPr>
            <a:r>
              <a:rPr lang="en-US" sz="4000">
                <a:solidFill>
                  <a:srgbClr val="000000"/>
                </a:solidFill>
              </a:rPr>
              <a:t>Global Mobile Phone Sales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SmartphoneFeaturePhoneLine!$A$2</c:f>
              <c:strCache>
                <c:ptCount val="1"/>
                <c:pt idx="0">
                  <c:v>Smartphone Shipments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SmartphoneFeaturePhoneLine!$B$1:$Y$1</c:f>
              <c:strCache>
                <c:ptCount val="24"/>
                <c:pt idx="0">
                  <c:v>1Q08</c:v>
                </c:pt>
                <c:pt idx="1">
                  <c:v>2Q08</c:v>
                </c:pt>
                <c:pt idx="2">
                  <c:v>3Q08</c:v>
                </c:pt>
                <c:pt idx="3">
                  <c:v>4Q08</c:v>
                </c:pt>
                <c:pt idx="4">
                  <c:v>1Q09</c:v>
                </c:pt>
                <c:pt idx="5">
                  <c:v>2Q09</c:v>
                </c:pt>
                <c:pt idx="6">
                  <c:v>3Q09</c:v>
                </c:pt>
                <c:pt idx="7">
                  <c:v>4Q09</c:v>
                </c:pt>
                <c:pt idx="8">
                  <c:v>1Q10</c:v>
                </c:pt>
                <c:pt idx="9">
                  <c:v>2Q10</c:v>
                </c:pt>
                <c:pt idx="10">
                  <c:v>3Q10</c:v>
                </c:pt>
                <c:pt idx="11">
                  <c:v>4Q10</c:v>
                </c:pt>
                <c:pt idx="12">
                  <c:v>1Q11</c:v>
                </c:pt>
                <c:pt idx="13">
                  <c:v>2Q11</c:v>
                </c:pt>
                <c:pt idx="14">
                  <c:v>3Q11</c:v>
                </c:pt>
                <c:pt idx="15">
                  <c:v>4Q11</c:v>
                </c:pt>
                <c:pt idx="16">
                  <c:v>1Q12</c:v>
                </c:pt>
                <c:pt idx="17">
                  <c:v>2Q12</c:v>
                </c:pt>
                <c:pt idx="18">
                  <c:v>3Q12</c:v>
                </c:pt>
                <c:pt idx="19">
                  <c:v>4Q12</c:v>
                </c:pt>
                <c:pt idx="20">
                  <c:v>1Q13</c:v>
                </c:pt>
                <c:pt idx="21">
                  <c:v>2Q13</c:v>
                </c:pt>
                <c:pt idx="22">
                  <c:v>3Q13</c:v>
                </c:pt>
                <c:pt idx="23">
                  <c:v>4Q13</c:v>
                </c:pt>
              </c:strCache>
            </c:strRef>
          </c:cat>
          <c:val>
            <c:numRef>
              <c:f>SmartphoneFeaturePhoneLine!$B$2:$Y$2</c:f>
              <c:numCache>
                <c:formatCode>_(* #,##0_);_(* \(#,##0\);_(* "-"??_);_(@_)</c:formatCode>
                <c:ptCount val="24"/>
                <c:pt idx="0">
                  <c:v>32314.9</c:v>
                </c:pt>
                <c:pt idx="1">
                  <c:v>32272.7</c:v>
                </c:pt>
                <c:pt idx="2">
                  <c:v>36557.4</c:v>
                </c:pt>
                <c:pt idx="3">
                  <c:v>38142.9</c:v>
                </c:pt>
                <c:pt idx="4">
                  <c:v>36507.4</c:v>
                </c:pt>
                <c:pt idx="5">
                  <c:v>40962.8</c:v>
                </c:pt>
                <c:pt idx="6">
                  <c:v>41067.6</c:v>
                </c:pt>
                <c:pt idx="7">
                  <c:v>53835.29999999999</c:v>
                </c:pt>
                <c:pt idx="8">
                  <c:v>54505.5</c:v>
                </c:pt>
                <c:pt idx="9">
                  <c:v>62058.1</c:v>
                </c:pt>
                <c:pt idx="10">
                  <c:v>81132.6</c:v>
                </c:pt>
                <c:pt idx="11">
                  <c:v>101150.3</c:v>
                </c:pt>
                <c:pt idx="12">
                  <c:v>99775.0</c:v>
                </c:pt>
                <c:pt idx="13">
                  <c:v>107740.4</c:v>
                </c:pt>
                <c:pt idx="14">
                  <c:v>115185.4</c:v>
                </c:pt>
                <c:pt idx="15">
                  <c:v>149041.8</c:v>
                </c:pt>
                <c:pt idx="16">
                  <c:v>144391.7</c:v>
                </c:pt>
                <c:pt idx="17">
                  <c:v>153686.1</c:v>
                </c:pt>
                <c:pt idx="18">
                  <c:v>169178.6</c:v>
                </c:pt>
                <c:pt idx="19">
                  <c:v>207662.4</c:v>
                </c:pt>
                <c:pt idx="20">
                  <c:v>210046.1</c:v>
                </c:pt>
                <c:pt idx="21">
                  <c:v>225326.2</c:v>
                </c:pt>
                <c:pt idx="22">
                  <c:v>250231.7</c:v>
                </c:pt>
                <c:pt idx="23">
                  <c:v>282251.7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SmartphoneFeaturePhoneLine!$A$3</c:f>
              <c:strCache>
                <c:ptCount val="1"/>
                <c:pt idx="0">
                  <c:v>Feature Phones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SmartphoneFeaturePhoneLine!$B$1:$Y$1</c:f>
              <c:strCache>
                <c:ptCount val="24"/>
                <c:pt idx="0">
                  <c:v>1Q08</c:v>
                </c:pt>
                <c:pt idx="1">
                  <c:v>2Q08</c:v>
                </c:pt>
                <c:pt idx="2">
                  <c:v>3Q08</c:v>
                </c:pt>
                <c:pt idx="3">
                  <c:v>4Q08</c:v>
                </c:pt>
                <c:pt idx="4">
                  <c:v>1Q09</c:v>
                </c:pt>
                <c:pt idx="5">
                  <c:v>2Q09</c:v>
                </c:pt>
                <c:pt idx="6">
                  <c:v>3Q09</c:v>
                </c:pt>
                <c:pt idx="7">
                  <c:v>4Q09</c:v>
                </c:pt>
                <c:pt idx="8">
                  <c:v>1Q10</c:v>
                </c:pt>
                <c:pt idx="9">
                  <c:v>2Q10</c:v>
                </c:pt>
                <c:pt idx="10">
                  <c:v>3Q10</c:v>
                </c:pt>
                <c:pt idx="11">
                  <c:v>4Q10</c:v>
                </c:pt>
                <c:pt idx="12">
                  <c:v>1Q11</c:v>
                </c:pt>
                <c:pt idx="13">
                  <c:v>2Q11</c:v>
                </c:pt>
                <c:pt idx="14">
                  <c:v>3Q11</c:v>
                </c:pt>
                <c:pt idx="15">
                  <c:v>4Q11</c:v>
                </c:pt>
                <c:pt idx="16">
                  <c:v>1Q12</c:v>
                </c:pt>
                <c:pt idx="17">
                  <c:v>2Q12</c:v>
                </c:pt>
                <c:pt idx="18">
                  <c:v>3Q12</c:v>
                </c:pt>
                <c:pt idx="19">
                  <c:v>4Q12</c:v>
                </c:pt>
                <c:pt idx="20">
                  <c:v>1Q13</c:v>
                </c:pt>
                <c:pt idx="21">
                  <c:v>2Q13</c:v>
                </c:pt>
                <c:pt idx="22">
                  <c:v>3Q13</c:v>
                </c:pt>
                <c:pt idx="23">
                  <c:v>4Q13</c:v>
                </c:pt>
              </c:strCache>
            </c:strRef>
          </c:cat>
          <c:val>
            <c:numRef>
              <c:f>SmartphoneFeaturePhoneLine!$B$3:$Y$3</c:f>
              <c:numCache>
                <c:formatCode>_(* #,##0_);_(* \(#,##0\);_(* "-"??_);_(@_)</c:formatCode>
                <c:ptCount val="24"/>
                <c:pt idx="0">
                  <c:v>261968.1</c:v>
                </c:pt>
                <c:pt idx="1">
                  <c:v>272004.6</c:v>
                </c:pt>
                <c:pt idx="2">
                  <c:v>271975.7</c:v>
                </c:pt>
                <c:pt idx="3">
                  <c:v>277016.5999999998</c:v>
                </c:pt>
                <c:pt idx="4">
                  <c:v>232612.7</c:v>
                </c:pt>
                <c:pt idx="5">
                  <c:v>245159.5</c:v>
                </c:pt>
                <c:pt idx="6">
                  <c:v>267827.1</c:v>
                </c:pt>
                <c:pt idx="7">
                  <c:v>293267.2000000002</c:v>
                </c:pt>
                <c:pt idx="8">
                  <c:v>305099.5</c:v>
                </c:pt>
                <c:pt idx="9">
                  <c:v>305928.6</c:v>
                </c:pt>
                <c:pt idx="10">
                  <c:v>335953.1</c:v>
                </c:pt>
                <c:pt idx="11">
                  <c:v>350886.2</c:v>
                </c:pt>
                <c:pt idx="12">
                  <c:v>328070.7</c:v>
                </c:pt>
                <c:pt idx="13">
                  <c:v>320920.75</c:v>
                </c:pt>
                <c:pt idx="14">
                  <c:v>326316.8</c:v>
                </c:pt>
                <c:pt idx="15">
                  <c:v>328661.2</c:v>
                </c:pt>
                <c:pt idx="16">
                  <c:v>274716.6</c:v>
                </c:pt>
                <c:pt idx="17">
                  <c:v>265321.8</c:v>
                </c:pt>
                <c:pt idx="18">
                  <c:v>258550.9</c:v>
                </c:pt>
                <c:pt idx="19">
                  <c:v>264414.0</c:v>
                </c:pt>
                <c:pt idx="20">
                  <c:v>215775.5</c:v>
                </c:pt>
                <c:pt idx="21">
                  <c:v>209832.2</c:v>
                </c:pt>
                <c:pt idx="22">
                  <c:v>205410.6</c:v>
                </c:pt>
                <c:pt idx="23">
                  <c:v>207768.6125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946376"/>
        <c:axId val="2097951832"/>
      </c:lineChart>
      <c:catAx>
        <c:axId val="2097946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 i="1">
                    <a:solidFill>
                      <a:srgbClr val="000000"/>
                    </a:solidFill>
                  </a:defRPr>
                </a:pPr>
                <a:r>
                  <a:rPr lang="en-US" sz="1800" b="0" i="1">
                    <a:solidFill>
                      <a:srgbClr val="000000"/>
                    </a:solidFill>
                  </a:rPr>
                  <a:t>Source: Gartner</a:t>
                </a:r>
              </a:p>
            </c:rich>
          </c:tx>
          <c:layout>
            <c:manualLayout>
              <c:xMode val="edge"/>
              <c:yMode val="edge"/>
              <c:x val="0.000626131626594848"/>
              <c:y val="0.982185273159145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7951832"/>
        <c:crosses val="autoZero"/>
        <c:auto val="1"/>
        <c:lblAlgn val="ctr"/>
        <c:lblOffset val="100"/>
        <c:tickLblSkip val="1"/>
        <c:noMultiLvlLbl val="0"/>
      </c:catAx>
      <c:valAx>
        <c:axId val="20979518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r>
                  <a:rPr lang="en-US" sz="2000">
                    <a:solidFill>
                      <a:srgbClr val="000000"/>
                    </a:solidFill>
                  </a:rPr>
                  <a:t>(Thousands)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794637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U.S. Smartphone Market Share By Platform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622672144206878"/>
          <c:y val="0.100869795002486"/>
          <c:w val="0.898840312391124"/>
          <c:h val="0.797337764420816"/>
        </c:manualLayout>
      </c:layout>
      <c:areaChart>
        <c:grouping val="stacked"/>
        <c:varyColors val="0"/>
        <c:ser>
          <c:idx val="0"/>
          <c:order val="0"/>
          <c:tx>
            <c:strRef>
              <c:f>'u.s. penetration'!$B$5</c:f>
              <c:strCache>
                <c:ptCount val="1"/>
                <c:pt idx="0">
                  <c:v>Android</c:v>
                </c:pt>
              </c:strCache>
            </c:strRef>
          </c:tx>
          <c:spPr>
            <a:solidFill>
              <a:schemeClr val="accent2"/>
            </a:solidFill>
          </c:spPr>
          <c:dLbls>
            <c:dLbl>
              <c:idx val="0"/>
              <c:layout>
                <c:manualLayout>
                  <c:x val="0.0825684880558696"/>
                  <c:y val="-0.013272361091827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800" b="1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'u.s. penetration'!$C$4:$AK$4</c:f>
              <c:strCache>
                <c:ptCount val="35"/>
                <c:pt idx="0">
                  <c:v>Jan 10</c:v>
                </c:pt>
                <c:pt idx="1">
                  <c:v>Feb 10</c:v>
                </c:pt>
                <c:pt idx="2">
                  <c:v>Mar 10</c:v>
                </c:pt>
                <c:pt idx="3">
                  <c:v>Apr 10</c:v>
                </c:pt>
                <c:pt idx="4">
                  <c:v>May 10</c:v>
                </c:pt>
                <c:pt idx="5">
                  <c:v>Jun 10</c:v>
                </c:pt>
                <c:pt idx="6">
                  <c:v>Jul 10</c:v>
                </c:pt>
                <c:pt idx="7">
                  <c:v>Aug 10</c:v>
                </c:pt>
                <c:pt idx="8">
                  <c:v>Sep 10</c:v>
                </c:pt>
                <c:pt idx="9">
                  <c:v>Oct 10</c:v>
                </c:pt>
                <c:pt idx="10">
                  <c:v>Nov 10</c:v>
                </c:pt>
                <c:pt idx="11">
                  <c:v>Dec 10</c:v>
                </c:pt>
                <c:pt idx="12">
                  <c:v>Jan 11</c:v>
                </c:pt>
                <c:pt idx="13">
                  <c:v>Feb 11</c:v>
                </c:pt>
                <c:pt idx="14">
                  <c:v>Mar 11</c:v>
                </c:pt>
                <c:pt idx="15">
                  <c:v>Apr 11</c:v>
                </c:pt>
                <c:pt idx="16">
                  <c:v>May 11</c:v>
                </c:pt>
                <c:pt idx="17">
                  <c:v>Jun 11</c:v>
                </c:pt>
                <c:pt idx="18">
                  <c:v>Jul 11</c:v>
                </c:pt>
                <c:pt idx="19">
                  <c:v>Aug 11</c:v>
                </c:pt>
                <c:pt idx="20">
                  <c:v>Sep 11</c:v>
                </c:pt>
                <c:pt idx="21">
                  <c:v>Oct 11</c:v>
                </c:pt>
                <c:pt idx="22">
                  <c:v>Nov 11</c:v>
                </c:pt>
                <c:pt idx="23">
                  <c:v>Dec 11</c:v>
                </c:pt>
                <c:pt idx="24">
                  <c:v>Jan 12</c:v>
                </c:pt>
                <c:pt idx="25">
                  <c:v>Feb 12</c:v>
                </c:pt>
                <c:pt idx="26">
                  <c:v>Mar 12</c:v>
                </c:pt>
                <c:pt idx="27">
                  <c:v>Apr 12</c:v>
                </c:pt>
                <c:pt idx="28">
                  <c:v>May 12</c:v>
                </c:pt>
                <c:pt idx="29">
                  <c:v>Jun 12</c:v>
                </c:pt>
                <c:pt idx="30">
                  <c:v>Jul 12</c:v>
                </c:pt>
                <c:pt idx="31">
                  <c:v>Aug 12</c:v>
                </c:pt>
                <c:pt idx="32">
                  <c:v>Sep 12</c:v>
                </c:pt>
                <c:pt idx="33">
                  <c:v>Oct 12</c:v>
                </c:pt>
                <c:pt idx="34">
                  <c:v>Nov 12</c:v>
                </c:pt>
              </c:strCache>
            </c:strRef>
          </c:cat>
          <c:val>
            <c:numRef>
              <c:f>'u.s. penetration'!$C$5:$AK$5</c:f>
              <c:numCache>
                <c:formatCode>0%</c:formatCode>
                <c:ptCount val="35"/>
                <c:pt idx="0">
                  <c:v>0.071</c:v>
                </c:pt>
                <c:pt idx="1">
                  <c:v>0.09</c:v>
                </c:pt>
                <c:pt idx="2">
                  <c:v>0.09</c:v>
                </c:pt>
                <c:pt idx="3">
                  <c:v>0.12</c:v>
                </c:pt>
                <c:pt idx="4">
                  <c:v>0.13</c:v>
                </c:pt>
                <c:pt idx="5">
                  <c:v>0.149</c:v>
                </c:pt>
                <c:pt idx="6">
                  <c:v>0.17</c:v>
                </c:pt>
                <c:pt idx="7">
                  <c:v>0.196</c:v>
                </c:pt>
                <c:pt idx="8">
                  <c:v>0.214</c:v>
                </c:pt>
                <c:pt idx="9">
                  <c:v>0.235</c:v>
                </c:pt>
                <c:pt idx="10">
                  <c:v>0.26</c:v>
                </c:pt>
                <c:pt idx="11">
                  <c:v>0.287</c:v>
                </c:pt>
                <c:pt idx="12">
                  <c:v>0.312</c:v>
                </c:pt>
                <c:pt idx="13">
                  <c:v>0.33</c:v>
                </c:pt>
                <c:pt idx="14">
                  <c:v>0.347</c:v>
                </c:pt>
                <c:pt idx="15">
                  <c:v>0.364</c:v>
                </c:pt>
                <c:pt idx="16">
                  <c:v>0.381</c:v>
                </c:pt>
                <c:pt idx="17">
                  <c:v>0.401</c:v>
                </c:pt>
                <c:pt idx="18">
                  <c:v>0.418</c:v>
                </c:pt>
                <c:pt idx="19">
                  <c:v>0.437</c:v>
                </c:pt>
                <c:pt idx="20">
                  <c:v>0.448</c:v>
                </c:pt>
                <c:pt idx="21">
                  <c:v>0.463</c:v>
                </c:pt>
                <c:pt idx="22">
                  <c:v>0.469</c:v>
                </c:pt>
                <c:pt idx="23">
                  <c:v>0.473</c:v>
                </c:pt>
                <c:pt idx="24">
                  <c:v>0.486</c:v>
                </c:pt>
                <c:pt idx="25">
                  <c:v>0.501</c:v>
                </c:pt>
                <c:pt idx="26">
                  <c:v>0.51</c:v>
                </c:pt>
                <c:pt idx="27">
                  <c:v>0.508</c:v>
                </c:pt>
                <c:pt idx="28">
                  <c:v>0.509</c:v>
                </c:pt>
                <c:pt idx="29">
                  <c:v>0.516</c:v>
                </c:pt>
                <c:pt idx="30">
                  <c:v>0.522</c:v>
                </c:pt>
                <c:pt idx="31">
                  <c:v>0.526</c:v>
                </c:pt>
                <c:pt idx="32">
                  <c:v>0.525</c:v>
                </c:pt>
                <c:pt idx="33">
                  <c:v>0.536</c:v>
                </c:pt>
                <c:pt idx="34">
                  <c:v>0.537</c:v>
                </c:pt>
              </c:numCache>
            </c:numRef>
          </c:val>
        </c:ser>
        <c:ser>
          <c:idx val="1"/>
          <c:order val="1"/>
          <c:tx>
            <c:strRef>
              <c:f>'u.s. penetration'!$B$6</c:f>
              <c:strCache>
                <c:ptCount val="1"/>
                <c:pt idx="0">
                  <c:v>Apple</c:v>
                </c:pt>
              </c:strCache>
            </c:strRef>
          </c:tx>
          <c:spPr>
            <a:solidFill>
              <a:schemeClr val="accent4"/>
            </a:solidFill>
          </c:spPr>
          <c:dLbls>
            <c:dLbl>
              <c:idx val="0"/>
              <c:layout>
                <c:manualLayout>
                  <c:x val="-0.0182136370711478"/>
                  <c:y val="0.00948025792273366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800" b="1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'u.s. penetration'!$C$4:$AK$4</c:f>
              <c:strCache>
                <c:ptCount val="35"/>
                <c:pt idx="0">
                  <c:v>Jan 10</c:v>
                </c:pt>
                <c:pt idx="1">
                  <c:v>Feb 10</c:v>
                </c:pt>
                <c:pt idx="2">
                  <c:v>Mar 10</c:v>
                </c:pt>
                <c:pt idx="3">
                  <c:v>Apr 10</c:v>
                </c:pt>
                <c:pt idx="4">
                  <c:v>May 10</c:v>
                </c:pt>
                <c:pt idx="5">
                  <c:v>Jun 10</c:v>
                </c:pt>
                <c:pt idx="6">
                  <c:v>Jul 10</c:v>
                </c:pt>
                <c:pt idx="7">
                  <c:v>Aug 10</c:v>
                </c:pt>
                <c:pt idx="8">
                  <c:v>Sep 10</c:v>
                </c:pt>
                <c:pt idx="9">
                  <c:v>Oct 10</c:v>
                </c:pt>
                <c:pt idx="10">
                  <c:v>Nov 10</c:v>
                </c:pt>
                <c:pt idx="11">
                  <c:v>Dec 10</c:v>
                </c:pt>
                <c:pt idx="12">
                  <c:v>Jan 11</c:v>
                </c:pt>
                <c:pt idx="13">
                  <c:v>Feb 11</c:v>
                </c:pt>
                <c:pt idx="14">
                  <c:v>Mar 11</c:v>
                </c:pt>
                <c:pt idx="15">
                  <c:v>Apr 11</c:v>
                </c:pt>
                <c:pt idx="16">
                  <c:v>May 11</c:v>
                </c:pt>
                <c:pt idx="17">
                  <c:v>Jun 11</c:v>
                </c:pt>
                <c:pt idx="18">
                  <c:v>Jul 11</c:v>
                </c:pt>
                <c:pt idx="19">
                  <c:v>Aug 11</c:v>
                </c:pt>
                <c:pt idx="20">
                  <c:v>Sep 11</c:v>
                </c:pt>
                <c:pt idx="21">
                  <c:v>Oct 11</c:v>
                </c:pt>
                <c:pt idx="22">
                  <c:v>Nov 11</c:v>
                </c:pt>
                <c:pt idx="23">
                  <c:v>Dec 11</c:v>
                </c:pt>
                <c:pt idx="24">
                  <c:v>Jan 12</c:v>
                </c:pt>
                <c:pt idx="25">
                  <c:v>Feb 12</c:v>
                </c:pt>
                <c:pt idx="26">
                  <c:v>Mar 12</c:v>
                </c:pt>
                <c:pt idx="27">
                  <c:v>Apr 12</c:v>
                </c:pt>
                <c:pt idx="28">
                  <c:v>May 12</c:v>
                </c:pt>
                <c:pt idx="29">
                  <c:v>Jun 12</c:v>
                </c:pt>
                <c:pt idx="30">
                  <c:v>Jul 12</c:v>
                </c:pt>
                <c:pt idx="31">
                  <c:v>Aug 12</c:v>
                </c:pt>
                <c:pt idx="32">
                  <c:v>Sep 12</c:v>
                </c:pt>
                <c:pt idx="33">
                  <c:v>Oct 12</c:v>
                </c:pt>
                <c:pt idx="34">
                  <c:v>Nov 12</c:v>
                </c:pt>
              </c:strCache>
            </c:strRef>
          </c:cat>
          <c:val>
            <c:numRef>
              <c:f>'u.s. penetration'!$C$6:$AK$6</c:f>
              <c:numCache>
                <c:formatCode>0%</c:formatCode>
                <c:ptCount val="35"/>
                <c:pt idx="0">
                  <c:v>0.251</c:v>
                </c:pt>
                <c:pt idx="1">
                  <c:v>0.254</c:v>
                </c:pt>
                <c:pt idx="2">
                  <c:v>0.254</c:v>
                </c:pt>
                <c:pt idx="3">
                  <c:v>0.251</c:v>
                </c:pt>
                <c:pt idx="4">
                  <c:v>0.244</c:v>
                </c:pt>
                <c:pt idx="5">
                  <c:v>0.243</c:v>
                </c:pt>
                <c:pt idx="6">
                  <c:v>0.238</c:v>
                </c:pt>
                <c:pt idx="7">
                  <c:v>0.242</c:v>
                </c:pt>
                <c:pt idx="8">
                  <c:v>0.243</c:v>
                </c:pt>
                <c:pt idx="9">
                  <c:v>0.246</c:v>
                </c:pt>
                <c:pt idx="10">
                  <c:v>0.25</c:v>
                </c:pt>
                <c:pt idx="11">
                  <c:v>0.25</c:v>
                </c:pt>
                <c:pt idx="12">
                  <c:v>0.247</c:v>
                </c:pt>
                <c:pt idx="13">
                  <c:v>0.252</c:v>
                </c:pt>
                <c:pt idx="14">
                  <c:v>0.255</c:v>
                </c:pt>
                <c:pt idx="15">
                  <c:v>0.26</c:v>
                </c:pt>
                <c:pt idx="16">
                  <c:v>0.266</c:v>
                </c:pt>
                <c:pt idx="17">
                  <c:v>0.266</c:v>
                </c:pt>
                <c:pt idx="18">
                  <c:v>0.27</c:v>
                </c:pt>
                <c:pt idx="19">
                  <c:v>0.273</c:v>
                </c:pt>
                <c:pt idx="20">
                  <c:v>0.274</c:v>
                </c:pt>
                <c:pt idx="21">
                  <c:v>0.281</c:v>
                </c:pt>
                <c:pt idx="22">
                  <c:v>0.287</c:v>
                </c:pt>
                <c:pt idx="23">
                  <c:v>0.296</c:v>
                </c:pt>
                <c:pt idx="24">
                  <c:v>0.295</c:v>
                </c:pt>
                <c:pt idx="25">
                  <c:v>0.302</c:v>
                </c:pt>
                <c:pt idx="26">
                  <c:v>0.307</c:v>
                </c:pt>
                <c:pt idx="27">
                  <c:v>0.314</c:v>
                </c:pt>
                <c:pt idx="28">
                  <c:v>0.319</c:v>
                </c:pt>
                <c:pt idx="29">
                  <c:v>0.324</c:v>
                </c:pt>
                <c:pt idx="30">
                  <c:v>0.334</c:v>
                </c:pt>
                <c:pt idx="31">
                  <c:v>0.343</c:v>
                </c:pt>
                <c:pt idx="32">
                  <c:v>0.343</c:v>
                </c:pt>
                <c:pt idx="33">
                  <c:v>0.343</c:v>
                </c:pt>
                <c:pt idx="34">
                  <c:v>0.35</c:v>
                </c:pt>
              </c:numCache>
            </c:numRef>
          </c:val>
        </c:ser>
        <c:ser>
          <c:idx val="2"/>
          <c:order val="2"/>
          <c:tx>
            <c:strRef>
              <c:f>'u.s. penetration'!$B$7</c:f>
              <c:strCache>
                <c:ptCount val="1"/>
                <c:pt idx="0">
                  <c:v>Blackberry</c:v>
                </c:pt>
              </c:strCache>
            </c:strRef>
          </c:tx>
          <c:spPr>
            <a:solidFill>
              <a:schemeClr val="accent6"/>
            </a:solidFill>
          </c:spPr>
          <c:dLbls>
            <c:dLbl>
              <c:idx val="0"/>
              <c:layout>
                <c:manualLayout>
                  <c:x val="-0.115353130393579"/>
                  <c:y val="0.047401289613668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800" b="1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'u.s. penetration'!$C$4:$AK$4</c:f>
              <c:strCache>
                <c:ptCount val="35"/>
                <c:pt idx="0">
                  <c:v>Jan 10</c:v>
                </c:pt>
                <c:pt idx="1">
                  <c:v>Feb 10</c:v>
                </c:pt>
                <c:pt idx="2">
                  <c:v>Mar 10</c:v>
                </c:pt>
                <c:pt idx="3">
                  <c:v>Apr 10</c:v>
                </c:pt>
                <c:pt idx="4">
                  <c:v>May 10</c:v>
                </c:pt>
                <c:pt idx="5">
                  <c:v>Jun 10</c:v>
                </c:pt>
                <c:pt idx="6">
                  <c:v>Jul 10</c:v>
                </c:pt>
                <c:pt idx="7">
                  <c:v>Aug 10</c:v>
                </c:pt>
                <c:pt idx="8">
                  <c:v>Sep 10</c:v>
                </c:pt>
                <c:pt idx="9">
                  <c:v>Oct 10</c:v>
                </c:pt>
                <c:pt idx="10">
                  <c:v>Nov 10</c:v>
                </c:pt>
                <c:pt idx="11">
                  <c:v>Dec 10</c:v>
                </c:pt>
                <c:pt idx="12">
                  <c:v>Jan 11</c:v>
                </c:pt>
                <c:pt idx="13">
                  <c:v>Feb 11</c:v>
                </c:pt>
                <c:pt idx="14">
                  <c:v>Mar 11</c:v>
                </c:pt>
                <c:pt idx="15">
                  <c:v>Apr 11</c:v>
                </c:pt>
                <c:pt idx="16">
                  <c:v>May 11</c:v>
                </c:pt>
                <c:pt idx="17">
                  <c:v>Jun 11</c:v>
                </c:pt>
                <c:pt idx="18">
                  <c:v>Jul 11</c:v>
                </c:pt>
                <c:pt idx="19">
                  <c:v>Aug 11</c:v>
                </c:pt>
                <c:pt idx="20">
                  <c:v>Sep 11</c:v>
                </c:pt>
                <c:pt idx="21">
                  <c:v>Oct 11</c:v>
                </c:pt>
                <c:pt idx="22">
                  <c:v>Nov 11</c:v>
                </c:pt>
                <c:pt idx="23">
                  <c:v>Dec 11</c:v>
                </c:pt>
                <c:pt idx="24">
                  <c:v>Jan 12</c:v>
                </c:pt>
                <c:pt idx="25">
                  <c:v>Feb 12</c:v>
                </c:pt>
                <c:pt idx="26">
                  <c:v>Mar 12</c:v>
                </c:pt>
                <c:pt idx="27">
                  <c:v>Apr 12</c:v>
                </c:pt>
                <c:pt idx="28">
                  <c:v>May 12</c:v>
                </c:pt>
                <c:pt idx="29">
                  <c:v>Jun 12</c:v>
                </c:pt>
                <c:pt idx="30">
                  <c:v>Jul 12</c:v>
                </c:pt>
                <c:pt idx="31">
                  <c:v>Aug 12</c:v>
                </c:pt>
                <c:pt idx="32">
                  <c:v>Sep 12</c:v>
                </c:pt>
                <c:pt idx="33">
                  <c:v>Oct 12</c:v>
                </c:pt>
                <c:pt idx="34">
                  <c:v>Nov 12</c:v>
                </c:pt>
              </c:strCache>
            </c:strRef>
          </c:cat>
          <c:val>
            <c:numRef>
              <c:f>'u.s. penetration'!$C$7:$AK$7</c:f>
              <c:numCache>
                <c:formatCode>0%</c:formatCode>
                <c:ptCount val="35"/>
                <c:pt idx="0">
                  <c:v>0.43</c:v>
                </c:pt>
                <c:pt idx="1">
                  <c:v>0.421</c:v>
                </c:pt>
                <c:pt idx="2">
                  <c:v>0.421</c:v>
                </c:pt>
                <c:pt idx="3">
                  <c:v>0.411</c:v>
                </c:pt>
                <c:pt idx="4">
                  <c:v>0.417</c:v>
                </c:pt>
                <c:pt idx="5">
                  <c:v>0.401</c:v>
                </c:pt>
                <c:pt idx="6">
                  <c:v>0.393</c:v>
                </c:pt>
                <c:pt idx="7">
                  <c:v>0.376</c:v>
                </c:pt>
                <c:pt idx="8">
                  <c:v>0.373</c:v>
                </c:pt>
                <c:pt idx="9">
                  <c:v>0.358</c:v>
                </c:pt>
                <c:pt idx="10">
                  <c:v>0.335</c:v>
                </c:pt>
                <c:pt idx="11">
                  <c:v>0.316</c:v>
                </c:pt>
                <c:pt idx="12">
                  <c:v>0.304</c:v>
                </c:pt>
                <c:pt idx="13">
                  <c:v>0.289</c:v>
                </c:pt>
                <c:pt idx="14">
                  <c:v>0.271</c:v>
                </c:pt>
                <c:pt idx="15">
                  <c:v>0.257</c:v>
                </c:pt>
                <c:pt idx="16">
                  <c:v>0.247</c:v>
                </c:pt>
                <c:pt idx="17">
                  <c:v>0.234</c:v>
                </c:pt>
                <c:pt idx="18">
                  <c:v>0.217</c:v>
                </c:pt>
                <c:pt idx="19">
                  <c:v>0.197</c:v>
                </c:pt>
                <c:pt idx="20">
                  <c:v>0.189</c:v>
                </c:pt>
                <c:pt idx="21">
                  <c:v>0.172</c:v>
                </c:pt>
                <c:pt idx="22">
                  <c:v>0.166</c:v>
                </c:pt>
                <c:pt idx="23">
                  <c:v>0.16</c:v>
                </c:pt>
                <c:pt idx="24">
                  <c:v>0.152</c:v>
                </c:pt>
                <c:pt idx="25">
                  <c:v>0.134</c:v>
                </c:pt>
                <c:pt idx="26">
                  <c:v>0.123</c:v>
                </c:pt>
                <c:pt idx="27">
                  <c:v>0.116</c:v>
                </c:pt>
                <c:pt idx="28">
                  <c:v>0.114</c:v>
                </c:pt>
                <c:pt idx="29">
                  <c:v>0.107</c:v>
                </c:pt>
                <c:pt idx="30">
                  <c:v>0.095</c:v>
                </c:pt>
                <c:pt idx="31">
                  <c:v>0.083</c:v>
                </c:pt>
                <c:pt idx="32">
                  <c:v>0.084</c:v>
                </c:pt>
                <c:pt idx="33">
                  <c:v>0.078</c:v>
                </c:pt>
                <c:pt idx="34">
                  <c:v>0.073</c:v>
                </c:pt>
              </c:numCache>
            </c:numRef>
          </c:val>
        </c:ser>
        <c:ser>
          <c:idx val="3"/>
          <c:order val="3"/>
          <c:tx>
            <c:strRef>
              <c:f>'u.s. penetration'!$B$8</c:f>
              <c:strCache>
                <c:ptCount val="1"/>
                <c:pt idx="0">
                  <c:v>Microsoft</c:v>
                </c:pt>
              </c:strCache>
            </c:strRef>
          </c:tx>
          <c:spPr>
            <a:solidFill>
              <a:schemeClr val="accent1"/>
            </a:solidFill>
          </c:spPr>
          <c:dLbls>
            <c:dLbl>
              <c:idx val="0"/>
              <c:layout>
                <c:manualLayout>
                  <c:x val="-0.219777887325183"/>
                  <c:y val="0.028440773768201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800" b="1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'u.s. penetration'!$C$4:$AK$4</c:f>
              <c:strCache>
                <c:ptCount val="35"/>
                <c:pt idx="0">
                  <c:v>Jan 10</c:v>
                </c:pt>
                <c:pt idx="1">
                  <c:v>Feb 10</c:v>
                </c:pt>
                <c:pt idx="2">
                  <c:v>Mar 10</c:v>
                </c:pt>
                <c:pt idx="3">
                  <c:v>Apr 10</c:v>
                </c:pt>
                <c:pt idx="4">
                  <c:v>May 10</c:v>
                </c:pt>
                <c:pt idx="5">
                  <c:v>Jun 10</c:v>
                </c:pt>
                <c:pt idx="6">
                  <c:v>Jul 10</c:v>
                </c:pt>
                <c:pt idx="7">
                  <c:v>Aug 10</c:v>
                </c:pt>
                <c:pt idx="8">
                  <c:v>Sep 10</c:v>
                </c:pt>
                <c:pt idx="9">
                  <c:v>Oct 10</c:v>
                </c:pt>
                <c:pt idx="10">
                  <c:v>Nov 10</c:v>
                </c:pt>
                <c:pt idx="11">
                  <c:v>Dec 10</c:v>
                </c:pt>
                <c:pt idx="12">
                  <c:v>Jan 11</c:v>
                </c:pt>
                <c:pt idx="13">
                  <c:v>Feb 11</c:v>
                </c:pt>
                <c:pt idx="14">
                  <c:v>Mar 11</c:v>
                </c:pt>
                <c:pt idx="15">
                  <c:v>Apr 11</c:v>
                </c:pt>
                <c:pt idx="16">
                  <c:v>May 11</c:v>
                </c:pt>
                <c:pt idx="17">
                  <c:v>Jun 11</c:v>
                </c:pt>
                <c:pt idx="18">
                  <c:v>Jul 11</c:v>
                </c:pt>
                <c:pt idx="19">
                  <c:v>Aug 11</c:v>
                </c:pt>
                <c:pt idx="20">
                  <c:v>Sep 11</c:v>
                </c:pt>
                <c:pt idx="21">
                  <c:v>Oct 11</c:v>
                </c:pt>
                <c:pt idx="22">
                  <c:v>Nov 11</c:v>
                </c:pt>
                <c:pt idx="23">
                  <c:v>Dec 11</c:v>
                </c:pt>
                <c:pt idx="24">
                  <c:v>Jan 12</c:v>
                </c:pt>
                <c:pt idx="25">
                  <c:v>Feb 12</c:v>
                </c:pt>
                <c:pt idx="26">
                  <c:v>Mar 12</c:v>
                </c:pt>
                <c:pt idx="27">
                  <c:v>Apr 12</c:v>
                </c:pt>
                <c:pt idx="28">
                  <c:v>May 12</c:v>
                </c:pt>
                <c:pt idx="29">
                  <c:v>Jun 12</c:v>
                </c:pt>
                <c:pt idx="30">
                  <c:v>Jul 12</c:v>
                </c:pt>
                <c:pt idx="31">
                  <c:v>Aug 12</c:v>
                </c:pt>
                <c:pt idx="32">
                  <c:v>Sep 12</c:v>
                </c:pt>
                <c:pt idx="33">
                  <c:v>Oct 12</c:v>
                </c:pt>
                <c:pt idx="34">
                  <c:v>Nov 12</c:v>
                </c:pt>
              </c:strCache>
            </c:strRef>
          </c:cat>
          <c:val>
            <c:numRef>
              <c:f>'u.s. penetration'!$C$8:$AK$8</c:f>
              <c:numCache>
                <c:formatCode>0%</c:formatCode>
                <c:ptCount val="35"/>
                <c:pt idx="0">
                  <c:v>0.157</c:v>
                </c:pt>
                <c:pt idx="1">
                  <c:v>0.151</c:v>
                </c:pt>
                <c:pt idx="2">
                  <c:v>0.151</c:v>
                </c:pt>
                <c:pt idx="3">
                  <c:v>0.14</c:v>
                </c:pt>
                <c:pt idx="4">
                  <c:v>0.132</c:v>
                </c:pt>
                <c:pt idx="5">
                  <c:v>0.128</c:v>
                </c:pt>
                <c:pt idx="6">
                  <c:v>0.118</c:v>
                </c:pt>
                <c:pt idx="7">
                  <c:v>0.108</c:v>
                </c:pt>
                <c:pt idx="8">
                  <c:v>0.1</c:v>
                </c:pt>
                <c:pt idx="9">
                  <c:v>0.097</c:v>
                </c:pt>
                <c:pt idx="10">
                  <c:v>0.09</c:v>
                </c:pt>
                <c:pt idx="11">
                  <c:v>0.084</c:v>
                </c:pt>
                <c:pt idx="12">
                  <c:v>0.08</c:v>
                </c:pt>
                <c:pt idx="13">
                  <c:v>0.077</c:v>
                </c:pt>
                <c:pt idx="14">
                  <c:v>0.075</c:v>
                </c:pt>
                <c:pt idx="15">
                  <c:v>0.067</c:v>
                </c:pt>
                <c:pt idx="16">
                  <c:v>0.058</c:v>
                </c:pt>
                <c:pt idx="17">
                  <c:v>0.058</c:v>
                </c:pt>
                <c:pt idx="18">
                  <c:v>0.057</c:v>
                </c:pt>
                <c:pt idx="19">
                  <c:v>0.057</c:v>
                </c:pt>
                <c:pt idx="20">
                  <c:v>0.056</c:v>
                </c:pt>
                <c:pt idx="21">
                  <c:v>0.054</c:v>
                </c:pt>
                <c:pt idx="22">
                  <c:v>0.052</c:v>
                </c:pt>
                <c:pt idx="23">
                  <c:v>0.047</c:v>
                </c:pt>
                <c:pt idx="24">
                  <c:v>0.044</c:v>
                </c:pt>
                <c:pt idx="25">
                  <c:v>0.039</c:v>
                </c:pt>
                <c:pt idx="26">
                  <c:v>0.039</c:v>
                </c:pt>
                <c:pt idx="27">
                  <c:v>0.04</c:v>
                </c:pt>
                <c:pt idx="28">
                  <c:v>0.04</c:v>
                </c:pt>
                <c:pt idx="29">
                  <c:v>0.038</c:v>
                </c:pt>
                <c:pt idx="30">
                  <c:v>0.036</c:v>
                </c:pt>
                <c:pt idx="31">
                  <c:v>0.036</c:v>
                </c:pt>
                <c:pt idx="32">
                  <c:v>0.036</c:v>
                </c:pt>
                <c:pt idx="33">
                  <c:v>0.032</c:v>
                </c:pt>
                <c:pt idx="34">
                  <c:v>0.03</c:v>
                </c:pt>
              </c:numCache>
            </c:numRef>
          </c:val>
        </c:ser>
        <c:ser>
          <c:idx val="4"/>
          <c:order val="4"/>
          <c:tx>
            <c:strRef>
              <c:f>'u.s. penetration'!$B$9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3"/>
            </a:solidFill>
          </c:spPr>
          <c:dLbls>
            <c:dLbl>
              <c:idx val="0"/>
              <c:layout>
                <c:manualLayout>
                  <c:x val="-0.293846678081183"/>
                  <c:y val="0.0056880054582398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800" b="1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'u.s. penetration'!$C$4:$AK$4</c:f>
              <c:strCache>
                <c:ptCount val="35"/>
                <c:pt idx="0">
                  <c:v>Jan 10</c:v>
                </c:pt>
                <c:pt idx="1">
                  <c:v>Feb 10</c:v>
                </c:pt>
                <c:pt idx="2">
                  <c:v>Mar 10</c:v>
                </c:pt>
                <c:pt idx="3">
                  <c:v>Apr 10</c:v>
                </c:pt>
                <c:pt idx="4">
                  <c:v>May 10</c:v>
                </c:pt>
                <c:pt idx="5">
                  <c:v>Jun 10</c:v>
                </c:pt>
                <c:pt idx="6">
                  <c:v>Jul 10</c:v>
                </c:pt>
                <c:pt idx="7">
                  <c:v>Aug 10</c:v>
                </c:pt>
                <c:pt idx="8">
                  <c:v>Sep 10</c:v>
                </c:pt>
                <c:pt idx="9">
                  <c:v>Oct 10</c:v>
                </c:pt>
                <c:pt idx="10">
                  <c:v>Nov 10</c:v>
                </c:pt>
                <c:pt idx="11">
                  <c:v>Dec 10</c:v>
                </c:pt>
                <c:pt idx="12">
                  <c:v>Jan 11</c:v>
                </c:pt>
                <c:pt idx="13">
                  <c:v>Feb 11</c:v>
                </c:pt>
                <c:pt idx="14">
                  <c:v>Mar 11</c:v>
                </c:pt>
                <c:pt idx="15">
                  <c:v>Apr 11</c:v>
                </c:pt>
                <c:pt idx="16">
                  <c:v>May 11</c:v>
                </c:pt>
                <c:pt idx="17">
                  <c:v>Jun 11</c:v>
                </c:pt>
                <c:pt idx="18">
                  <c:v>Jul 11</c:v>
                </c:pt>
                <c:pt idx="19">
                  <c:v>Aug 11</c:v>
                </c:pt>
                <c:pt idx="20">
                  <c:v>Sep 11</c:v>
                </c:pt>
                <c:pt idx="21">
                  <c:v>Oct 11</c:v>
                </c:pt>
                <c:pt idx="22">
                  <c:v>Nov 11</c:v>
                </c:pt>
                <c:pt idx="23">
                  <c:v>Dec 11</c:v>
                </c:pt>
                <c:pt idx="24">
                  <c:v>Jan 12</c:v>
                </c:pt>
                <c:pt idx="25">
                  <c:v>Feb 12</c:v>
                </c:pt>
                <c:pt idx="26">
                  <c:v>Mar 12</c:v>
                </c:pt>
                <c:pt idx="27">
                  <c:v>Apr 12</c:v>
                </c:pt>
                <c:pt idx="28">
                  <c:v>May 12</c:v>
                </c:pt>
                <c:pt idx="29">
                  <c:v>Jun 12</c:v>
                </c:pt>
                <c:pt idx="30">
                  <c:v>Jul 12</c:v>
                </c:pt>
                <c:pt idx="31">
                  <c:v>Aug 12</c:v>
                </c:pt>
                <c:pt idx="32">
                  <c:v>Sep 12</c:v>
                </c:pt>
                <c:pt idx="33">
                  <c:v>Oct 12</c:v>
                </c:pt>
                <c:pt idx="34">
                  <c:v>Nov 12</c:v>
                </c:pt>
              </c:strCache>
            </c:strRef>
          </c:cat>
          <c:val>
            <c:numRef>
              <c:f>'u.s. penetration'!$C$9:$AK$9</c:f>
              <c:numCache>
                <c:formatCode>0%</c:formatCode>
                <c:ptCount val="35"/>
                <c:pt idx="0">
                  <c:v>0.0909999999999999</c:v>
                </c:pt>
                <c:pt idx="1">
                  <c:v>0.0840000000000001</c:v>
                </c:pt>
                <c:pt idx="2">
                  <c:v>0.0839999999999999</c:v>
                </c:pt>
                <c:pt idx="3">
                  <c:v>0.0779999999999999</c:v>
                </c:pt>
                <c:pt idx="4">
                  <c:v>0.0770000000000001</c:v>
                </c:pt>
                <c:pt idx="5">
                  <c:v>0.079</c:v>
                </c:pt>
                <c:pt idx="6">
                  <c:v>0.0809999999999999</c:v>
                </c:pt>
                <c:pt idx="7">
                  <c:v>0.0779999999999999</c:v>
                </c:pt>
                <c:pt idx="8">
                  <c:v>0.0700000000000001</c:v>
                </c:pt>
                <c:pt idx="9">
                  <c:v>0.064</c:v>
                </c:pt>
                <c:pt idx="10">
                  <c:v>0.065</c:v>
                </c:pt>
                <c:pt idx="11">
                  <c:v>0.063</c:v>
                </c:pt>
                <c:pt idx="12">
                  <c:v>0.057</c:v>
                </c:pt>
                <c:pt idx="13">
                  <c:v>0.052</c:v>
                </c:pt>
                <c:pt idx="14">
                  <c:v>0.0519999999999999</c:v>
                </c:pt>
                <c:pt idx="15">
                  <c:v>0.052</c:v>
                </c:pt>
                <c:pt idx="16">
                  <c:v>0.0479999999999999</c:v>
                </c:pt>
                <c:pt idx="17">
                  <c:v>0.0409999999999999</c:v>
                </c:pt>
                <c:pt idx="18">
                  <c:v>0.038</c:v>
                </c:pt>
                <c:pt idx="19">
                  <c:v>0.0359999999999999</c:v>
                </c:pt>
                <c:pt idx="20">
                  <c:v>0.0330000000000001</c:v>
                </c:pt>
                <c:pt idx="21">
                  <c:v>0.03</c:v>
                </c:pt>
                <c:pt idx="22">
                  <c:v>0.0259999999999999</c:v>
                </c:pt>
                <c:pt idx="23">
                  <c:v>0.0239999999999999</c:v>
                </c:pt>
                <c:pt idx="24">
                  <c:v>0.023</c:v>
                </c:pt>
                <c:pt idx="25">
                  <c:v>0.024</c:v>
                </c:pt>
                <c:pt idx="26">
                  <c:v>0.021</c:v>
                </c:pt>
                <c:pt idx="27">
                  <c:v>0.0219999999999999</c:v>
                </c:pt>
                <c:pt idx="28">
                  <c:v>0.0179999999999999</c:v>
                </c:pt>
                <c:pt idx="29">
                  <c:v>0.0149999999999999</c:v>
                </c:pt>
                <c:pt idx="30">
                  <c:v>0.013</c:v>
                </c:pt>
                <c:pt idx="31">
                  <c:v>0.012</c:v>
                </c:pt>
                <c:pt idx="32">
                  <c:v>0.012</c:v>
                </c:pt>
                <c:pt idx="33">
                  <c:v>0.011</c:v>
                </c:pt>
                <c:pt idx="34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2098070312"/>
        <c:axId val="2098073320"/>
      </c:areaChart>
      <c:catAx>
        <c:axId val="20980703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098073320"/>
        <c:crosses val="autoZero"/>
        <c:auto val="1"/>
        <c:lblAlgn val="ctr"/>
        <c:lblOffset val="100"/>
        <c:tickLblSkip val="3"/>
        <c:noMultiLvlLbl val="0"/>
      </c:catAx>
      <c:valAx>
        <c:axId val="2098073320"/>
        <c:scaling>
          <c:orientation val="minMax"/>
          <c:max val="1.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098070312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400">
                <a:solidFill>
                  <a:srgbClr val="000000"/>
                </a:solidFill>
              </a:defRPr>
            </a:pPr>
            <a:r>
              <a:rPr lang="en-US" sz="4400">
                <a:solidFill>
                  <a:srgbClr val="000000"/>
                </a:solidFill>
              </a:rPr>
              <a:t>U.S. Smartphone Penetration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6103735543826"/>
          <c:y val="0.108518296932854"/>
          <c:w val="0.861094550825031"/>
          <c:h val="0.79870784744356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0.00384036151409428"/>
                  <c:y val="0.009355050998286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"/>
              <c:layout>
                <c:manualLayout>
                  <c:x val="0.194077767844926"/>
                  <c:y val="-0.162219428673075"/>
                </c:manualLayout>
              </c:layout>
              <c:tx>
                <c:rich>
                  <a:bodyPr/>
                  <a:lstStyle/>
                  <a:p>
                    <a:r>
                      <a:rPr lang="en-US" sz="2400">
                        <a:solidFill>
                          <a:srgbClr val="000000"/>
                        </a:solidFill>
                      </a:rPr>
                      <a:t>65%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400" b="1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'u.s. penetration'!$C$4:$AX$4</c:f>
              <c:strCache>
                <c:ptCount val="48"/>
                <c:pt idx="0">
                  <c:v>Jan 10</c:v>
                </c:pt>
                <c:pt idx="1">
                  <c:v>Feb 10</c:v>
                </c:pt>
                <c:pt idx="2">
                  <c:v>Mar 10</c:v>
                </c:pt>
                <c:pt idx="3">
                  <c:v>Apr 10</c:v>
                </c:pt>
                <c:pt idx="4">
                  <c:v>May 10</c:v>
                </c:pt>
                <c:pt idx="5">
                  <c:v>Jun 10</c:v>
                </c:pt>
                <c:pt idx="6">
                  <c:v>Jul 10</c:v>
                </c:pt>
                <c:pt idx="7">
                  <c:v>Aug 10</c:v>
                </c:pt>
                <c:pt idx="8">
                  <c:v>Sep 10</c:v>
                </c:pt>
                <c:pt idx="9">
                  <c:v>Oct 10</c:v>
                </c:pt>
                <c:pt idx="10">
                  <c:v>Nov 10</c:v>
                </c:pt>
                <c:pt idx="11">
                  <c:v>Dec 10</c:v>
                </c:pt>
                <c:pt idx="12">
                  <c:v>Jan 11</c:v>
                </c:pt>
                <c:pt idx="13">
                  <c:v>Feb 11</c:v>
                </c:pt>
                <c:pt idx="14">
                  <c:v>Mar 11</c:v>
                </c:pt>
                <c:pt idx="15">
                  <c:v>Apr 11</c:v>
                </c:pt>
                <c:pt idx="16">
                  <c:v>May 11</c:v>
                </c:pt>
                <c:pt idx="17">
                  <c:v>Jun 11</c:v>
                </c:pt>
                <c:pt idx="18">
                  <c:v>Jul 11</c:v>
                </c:pt>
                <c:pt idx="19">
                  <c:v>Aug 11</c:v>
                </c:pt>
                <c:pt idx="20">
                  <c:v>Sep 11</c:v>
                </c:pt>
                <c:pt idx="21">
                  <c:v>Oct 11</c:v>
                </c:pt>
                <c:pt idx="22">
                  <c:v>Nov 11</c:v>
                </c:pt>
                <c:pt idx="23">
                  <c:v>Dec 11</c:v>
                </c:pt>
                <c:pt idx="24">
                  <c:v>Jan 12</c:v>
                </c:pt>
                <c:pt idx="25">
                  <c:v>Feb 12</c:v>
                </c:pt>
                <c:pt idx="26">
                  <c:v>Mar 12</c:v>
                </c:pt>
                <c:pt idx="27">
                  <c:v>Apr 12</c:v>
                </c:pt>
                <c:pt idx="28">
                  <c:v>May 12</c:v>
                </c:pt>
                <c:pt idx="29">
                  <c:v>Jun 12</c:v>
                </c:pt>
                <c:pt idx="30">
                  <c:v>Jul 12</c:v>
                </c:pt>
                <c:pt idx="31">
                  <c:v>Aug 12</c:v>
                </c:pt>
                <c:pt idx="32">
                  <c:v>Sep 12</c:v>
                </c:pt>
                <c:pt idx="33">
                  <c:v>Oct 12</c:v>
                </c:pt>
                <c:pt idx="34">
                  <c:v>Nov 12</c:v>
                </c:pt>
                <c:pt idx="35">
                  <c:v>Dec 12</c:v>
                </c:pt>
                <c:pt idx="36">
                  <c:v>Jan 13</c:v>
                </c:pt>
                <c:pt idx="37">
                  <c:v>Feb 13</c:v>
                </c:pt>
                <c:pt idx="38">
                  <c:v>Mar 13</c:v>
                </c:pt>
                <c:pt idx="39">
                  <c:v>Apr 13</c:v>
                </c:pt>
                <c:pt idx="40">
                  <c:v>May 13</c:v>
                </c:pt>
                <c:pt idx="41">
                  <c:v>Jun 13</c:v>
                </c:pt>
                <c:pt idx="42">
                  <c:v>Jul 13</c:v>
                </c:pt>
                <c:pt idx="43">
                  <c:v>Aug 13</c:v>
                </c:pt>
                <c:pt idx="44">
                  <c:v>Sep 13</c:v>
                </c:pt>
                <c:pt idx="45">
                  <c:v>Oct 13</c:v>
                </c:pt>
                <c:pt idx="46">
                  <c:v>Nov 13</c:v>
                </c:pt>
                <c:pt idx="47">
                  <c:v>Dec 13</c:v>
                </c:pt>
              </c:strCache>
            </c:strRef>
          </c:cat>
          <c:val>
            <c:numRef>
              <c:f>'u.s. penetration'!$C$13:$AX$13</c:f>
              <c:numCache>
                <c:formatCode>0%</c:formatCode>
                <c:ptCount val="48"/>
                <c:pt idx="0">
                  <c:v>0.182478632478632</c:v>
                </c:pt>
                <c:pt idx="1">
                  <c:v>0.194017094017094</c:v>
                </c:pt>
                <c:pt idx="2">
                  <c:v>0.199946581196581</c:v>
                </c:pt>
                <c:pt idx="3">
                  <c:v>0.205876068376068</c:v>
                </c:pt>
                <c:pt idx="4">
                  <c:v>0.20982905982906</c:v>
                </c:pt>
                <c:pt idx="5">
                  <c:v>0.219017094017094</c:v>
                </c:pt>
                <c:pt idx="6">
                  <c:v>0.228205128205128</c:v>
                </c:pt>
                <c:pt idx="7">
                  <c:v>0.238034188034188</c:v>
                </c:pt>
                <c:pt idx="8">
                  <c:v>0.250854700854701</c:v>
                </c:pt>
                <c:pt idx="9">
                  <c:v>0.259401709401709</c:v>
                </c:pt>
                <c:pt idx="10">
                  <c:v>0.262820512820513</c:v>
                </c:pt>
                <c:pt idx="11">
                  <c:v>0.27008547008547</c:v>
                </c:pt>
                <c:pt idx="12">
                  <c:v>0.281196581196581</c:v>
                </c:pt>
                <c:pt idx="13">
                  <c:v>0.297008547008547</c:v>
                </c:pt>
                <c:pt idx="14">
                  <c:v>0.30982905982906</c:v>
                </c:pt>
                <c:pt idx="15">
                  <c:v>0.318803418803419</c:v>
                </c:pt>
                <c:pt idx="16">
                  <c:v>0.328205128205128</c:v>
                </c:pt>
                <c:pt idx="17">
                  <c:v>0.335470085470085</c:v>
                </c:pt>
                <c:pt idx="18">
                  <c:v>0.351282051282051</c:v>
                </c:pt>
                <c:pt idx="19">
                  <c:v>0.361111111111111</c:v>
                </c:pt>
                <c:pt idx="20">
                  <c:v>0.373504273504273</c:v>
                </c:pt>
                <c:pt idx="21">
                  <c:v>0.384615384615385</c:v>
                </c:pt>
                <c:pt idx="22">
                  <c:v>0.390598290598291</c:v>
                </c:pt>
                <c:pt idx="23">
                  <c:v>0.418376068376068</c:v>
                </c:pt>
                <c:pt idx="24">
                  <c:v>0.427350427350427</c:v>
                </c:pt>
                <c:pt idx="25">
                  <c:v>0.444444444444444</c:v>
                </c:pt>
                <c:pt idx="26">
                  <c:v>0.452991452991453</c:v>
                </c:pt>
                <c:pt idx="27">
                  <c:v>0.457264957264957</c:v>
                </c:pt>
                <c:pt idx="28">
                  <c:v>0.47008547008547</c:v>
                </c:pt>
                <c:pt idx="29">
                  <c:v>0.478632478632479</c:v>
                </c:pt>
                <c:pt idx="30">
                  <c:v>0.487179487179487</c:v>
                </c:pt>
                <c:pt idx="31">
                  <c:v>0.497863247863248</c:v>
                </c:pt>
                <c:pt idx="32">
                  <c:v>0.50982905982906</c:v>
                </c:pt>
                <c:pt idx="33">
                  <c:v>0.518376068376068</c:v>
                </c:pt>
                <c:pt idx="34">
                  <c:v>0.526923076923077</c:v>
                </c:pt>
                <c:pt idx="35">
                  <c:v>0.538034188034188</c:v>
                </c:pt>
                <c:pt idx="36">
                  <c:v>0.552991452991453</c:v>
                </c:pt>
                <c:pt idx="37">
                  <c:v>0.571367521367521</c:v>
                </c:pt>
                <c:pt idx="38">
                  <c:v>0.584188034188034</c:v>
                </c:pt>
                <c:pt idx="39">
                  <c:v>0.591880341880342</c:v>
                </c:pt>
                <c:pt idx="40" formatCode="0.0%">
                  <c:v>0.6</c:v>
                </c:pt>
                <c:pt idx="41">
                  <c:v>0.6</c:v>
                </c:pt>
                <c:pt idx="42">
                  <c:v>0.6</c:v>
                </c:pt>
                <c:pt idx="43">
                  <c:v>0.61</c:v>
                </c:pt>
                <c:pt idx="44">
                  <c:v>0.62</c:v>
                </c:pt>
                <c:pt idx="45">
                  <c:v>0.625</c:v>
                </c:pt>
                <c:pt idx="46">
                  <c:v>0.638</c:v>
                </c:pt>
                <c:pt idx="47">
                  <c:v>0.652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8119720"/>
        <c:axId val="2098125192"/>
      </c:lineChart>
      <c:catAx>
        <c:axId val="2098119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300">
                    <a:solidFill>
                      <a:srgbClr val="000000"/>
                    </a:solidFill>
                  </a:defRPr>
                </a:pPr>
                <a:r>
                  <a:rPr lang="en-US" sz="2300" b="0" i="1">
                    <a:solidFill>
                      <a:srgbClr val="000000"/>
                    </a:solidFill>
                  </a:rPr>
                  <a:t>Source: comScore</a:t>
                </a:r>
              </a:p>
            </c:rich>
          </c:tx>
          <c:layout>
            <c:manualLayout>
              <c:xMode val="edge"/>
              <c:yMode val="edge"/>
              <c:x val="0.000681207699227904"/>
              <c:y val="0.963635898004371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2300">
                <a:solidFill>
                  <a:srgbClr val="000000"/>
                </a:solidFill>
              </a:defRPr>
            </a:pPr>
            <a:endParaRPr lang="en-US"/>
          </a:p>
        </c:txPr>
        <c:crossAx val="209812519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0981251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300">
                    <a:solidFill>
                      <a:srgbClr val="000000"/>
                    </a:solidFill>
                  </a:defRPr>
                </a:pPr>
                <a:r>
                  <a:rPr lang="en-US" sz="2300">
                    <a:solidFill>
                      <a:srgbClr val="000000"/>
                    </a:solidFill>
                  </a:rPr>
                  <a:t>(as</a:t>
                </a:r>
                <a:r>
                  <a:rPr lang="en-US" sz="2300" baseline="0">
                    <a:solidFill>
                      <a:srgbClr val="000000"/>
                    </a:solidFill>
                  </a:rPr>
                  <a:t> a percentage of the mobile population)</a:t>
                </a:r>
                <a:endParaRPr lang="en-US" sz="2300">
                  <a:solidFill>
                    <a:srgbClr val="000000"/>
                  </a:solidFill>
                </a:endParaRP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300">
                <a:solidFill>
                  <a:srgbClr val="000000"/>
                </a:solidFill>
              </a:defRPr>
            </a:pPr>
            <a:endParaRPr lang="en-US"/>
          </a:p>
        </c:txPr>
        <c:crossAx val="209811972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3800">
                <a:solidFill>
                  <a:srgbClr val="000000"/>
                </a:solidFill>
              </a:defRPr>
            </a:pPr>
            <a:r>
              <a:rPr lang="en-US" sz="3800">
                <a:solidFill>
                  <a:srgbClr val="000000"/>
                </a:solidFill>
              </a:rPr>
              <a:t>U.S.</a:t>
            </a:r>
            <a:r>
              <a:rPr lang="en-US" sz="3800" baseline="0">
                <a:solidFill>
                  <a:srgbClr val="000000"/>
                </a:solidFill>
              </a:rPr>
              <a:t> Smartphone Market: Year-Over-Year Net Adds</a:t>
            </a:r>
            <a:endParaRPr lang="en-US" sz="3800">
              <a:solidFill>
                <a:srgbClr val="000000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4528316786042"/>
          <c:y val="0.098631391818969"/>
          <c:w val="0.870969691364059"/>
          <c:h val="0.769233337211808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'u.s. smartphone net adds (2)'!$G$1:$AD$1</c:f>
              <c:strCache>
                <c:ptCount val="24"/>
                <c:pt idx="0">
                  <c:v>Q1 2008</c:v>
                </c:pt>
                <c:pt idx="1">
                  <c:v>Q2 2008</c:v>
                </c:pt>
                <c:pt idx="2">
                  <c:v>Q3 2008</c:v>
                </c:pt>
                <c:pt idx="3">
                  <c:v>Q4 2008</c:v>
                </c:pt>
                <c:pt idx="4">
                  <c:v>Q1 2009</c:v>
                </c:pt>
                <c:pt idx="5">
                  <c:v>Q2 2009</c:v>
                </c:pt>
                <c:pt idx="6">
                  <c:v>Q3 2009</c:v>
                </c:pt>
                <c:pt idx="7">
                  <c:v>Q4 2009</c:v>
                </c:pt>
                <c:pt idx="8">
                  <c:v>Q1 2010</c:v>
                </c:pt>
                <c:pt idx="9">
                  <c:v>Q2 2010</c:v>
                </c:pt>
                <c:pt idx="10">
                  <c:v>Q3 2010</c:v>
                </c:pt>
                <c:pt idx="11">
                  <c:v>Q4 2010</c:v>
                </c:pt>
                <c:pt idx="12">
                  <c:v>Q1 2011</c:v>
                </c:pt>
                <c:pt idx="13">
                  <c:v>Q2 2011</c:v>
                </c:pt>
                <c:pt idx="14">
                  <c:v>Q3 2011</c:v>
                </c:pt>
                <c:pt idx="15">
                  <c:v>Q4 2011</c:v>
                </c:pt>
                <c:pt idx="16">
                  <c:v>Q1 2012</c:v>
                </c:pt>
                <c:pt idx="17">
                  <c:v>Q2 2012</c:v>
                </c:pt>
                <c:pt idx="18">
                  <c:v>Q3 2012</c:v>
                </c:pt>
                <c:pt idx="19">
                  <c:v>Q4 2012</c:v>
                </c:pt>
                <c:pt idx="20">
                  <c:v>Q1 2013</c:v>
                </c:pt>
                <c:pt idx="21">
                  <c:v>Q2 2013</c:v>
                </c:pt>
                <c:pt idx="22">
                  <c:v>Q3 2013</c:v>
                </c:pt>
                <c:pt idx="23">
                  <c:v>Q4 2013</c:v>
                </c:pt>
              </c:strCache>
            </c:strRef>
          </c:cat>
          <c:val>
            <c:numRef>
              <c:f>'u.s. smartphone net adds (2)'!$G$39:$AD$39</c:f>
              <c:numCache>
                <c:formatCode>0</c:formatCode>
                <c:ptCount val="24"/>
                <c:pt idx="0">
                  <c:v>11.934</c:v>
                </c:pt>
                <c:pt idx="1">
                  <c:v>9.8865</c:v>
                </c:pt>
                <c:pt idx="2">
                  <c:v>12.753</c:v>
                </c:pt>
                <c:pt idx="3">
                  <c:v>12.753</c:v>
                </c:pt>
                <c:pt idx="4">
                  <c:v>14.274</c:v>
                </c:pt>
                <c:pt idx="5">
                  <c:v>15.444</c:v>
                </c:pt>
                <c:pt idx="6">
                  <c:v>11.171</c:v>
                </c:pt>
                <c:pt idx="7">
                  <c:v>8.770000000000003</c:v>
                </c:pt>
                <c:pt idx="8">
                  <c:v>7.960000000000001</c:v>
                </c:pt>
                <c:pt idx="9">
                  <c:v>9.554000000000002</c:v>
                </c:pt>
                <c:pt idx="10">
                  <c:v>17.577</c:v>
                </c:pt>
                <c:pt idx="11">
                  <c:v>20.5</c:v>
                </c:pt>
                <c:pt idx="12">
                  <c:v>27.1</c:v>
                </c:pt>
                <c:pt idx="13">
                  <c:v>29.4</c:v>
                </c:pt>
                <c:pt idx="14">
                  <c:v>28.7</c:v>
                </c:pt>
                <c:pt idx="15">
                  <c:v>34.7</c:v>
                </c:pt>
                <c:pt idx="16">
                  <c:v>33.5</c:v>
                </c:pt>
                <c:pt idx="17">
                  <c:v>31.5</c:v>
                </c:pt>
                <c:pt idx="18">
                  <c:v>31.89999999999999</c:v>
                </c:pt>
                <c:pt idx="19">
                  <c:v>28.0</c:v>
                </c:pt>
                <c:pt idx="20">
                  <c:v>30.69999999999999</c:v>
                </c:pt>
                <c:pt idx="21">
                  <c:v>32.0</c:v>
                </c:pt>
                <c:pt idx="22">
                  <c:v>28.60000000000001</c:v>
                </c:pt>
                <c:pt idx="23">
                  <c:v>30.09999999999999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152136"/>
        <c:axId val="2098213992"/>
      </c:lineChart>
      <c:catAx>
        <c:axId val="2097152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8213992"/>
        <c:crosses val="autoZero"/>
        <c:auto val="1"/>
        <c:lblAlgn val="ctr"/>
        <c:lblOffset val="100"/>
        <c:noMultiLvlLbl val="0"/>
      </c:catAx>
      <c:valAx>
        <c:axId val="209821399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2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Users</a:t>
                </a:r>
              </a:p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2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Added</a:t>
                </a:r>
              </a:p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2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(Millions)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7152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4000"/>
              <a:t>Smartphone Sales In 2014 Will Be Driven By New Users In Emerging</a:t>
            </a:r>
            <a:r>
              <a:rPr lang="en-US" sz="4000" baseline="0"/>
              <a:t> Markets </a:t>
            </a:r>
            <a:endParaRPr lang="en-US" sz="4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783274552835838"/>
          <c:y val="0.146080760095012"/>
          <c:w val="0.907424993514279"/>
          <c:h val="0.6563797295528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'2014 Smartphone Sales'!$C$1</c:f>
              <c:strCache>
                <c:ptCount val="1"/>
                <c:pt idx="0">
                  <c:v>Sales To New Smartphone Users In 2014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'2014 Smartphone Sales'!$A$3:$A$18</c:f>
              <c:strCache>
                <c:ptCount val="16"/>
                <c:pt idx="0">
                  <c:v>China</c:v>
                </c:pt>
                <c:pt idx="1">
                  <c:v>India</c:v>
                </c:pt>
                <c:pt idx="2">
                  <c:v>USA</c:v>
                </c:pt>
                <c:pt idx="3">
                  <c:v>Brazil</c:v>
                </c:pt>
                <c:pt idx="4">
                  <c:v>Indonesia</c:v>
                </c:pt>
                <c:pt idx="5">
                  <c:v>Russia</c:v>
                </c:pt>
                <c:pt idx="6">
                  <c:v>Japan</c:v>
                </c:pt>
                <c:pt idx="7">
                  <c:v>Mexico</c:v>
                </c:pt>
                <c:pt idx="8">
                  <c:v>Germany</c:v>
                </c:pt>
                <c:pt idx="9">
                  <c:v>France</c:v>
                </c:pt>
                <c:pt idx="10">
                  <c:v>UK</c:v>
                </c:pt>
                <c:pt idx="11">
                  <c:v>Others</c:v>
                </c:pt>
                <c:pt idx="12">
                  <c:v>Italy</c:v>
                </c:pt>
                <c:pt idx="13">
                  <c:v>Australia</c:v>
                </c:pt>
                <c:pt idx="14">
                  <c:v>Malaysia</c:v>
                </c:pt>
                <c:pt idx="15">
                  <c:v>Sweden</c:v>
                </c:pt>
              </c:strCache>
            </c:strRef>
          </c:cat>
          <c:val>
            <c:numRef>
              <c:f>'2014 Smartphone Sales'!$C$3:$C$18</c:f>
              <c:numCache>
                <c:formatCode>General</c:formatCode>
                <c:ptCount val="16"/>
                <c:pt idx="0">
                  <c:v>215.93</c:v>
                </c:pt>
                <c:pt idx="1">
                  <c:v>207.54</c:v>
                </c:pt>
                <c:pt idx="2">
                  <c:v>47.5</c:v>
                </c:pt>
                <c:pt idx="3">
                  <c:v>38.19</c:v>
                </c:pt>
                <c:pt idx="4">
                  <c:v>40.19</c:v>
                </c:pt>
                <c:pt idx="5">
                  <c:v>21.38</c:v>
                </c:pt>
                <c:pt idx="6">
                  <c:v>22.91</c:v>
                </c:pt>
                <c:pt idx="7">
                  <c:v>16.27</c:v>
                </c:pt>
                <c:pt idx="8">
                  <c:v>12.17</c:v>
                </c:pt>
                <c:pt idx="9">
                  <c:v>11.21</c:v>
                </c:pt>
                <c:pt idx="10">
                  <c:v>8.24</c:v>
                </c:pt>
                <c:pt idx="12">
                  <c:v>10.45</c:v>
                </c:pt>
                <c:pt idx="13">
                  <c:v>2.67</c:v>
                </c:pt>
                <c:pt idx="14">
                  <c:v>4.15</c:v>
                </c:pt>
                <c:pt idx="15">
                  <c:v>1.19</c:v>
                </c:pt>
              </c:numCache>
            </c:numRef>
          </c:val>
        </c:ser>
        <c:ser>
          <c:idx val="1"/>
          <c:order val="1"/>
          <c:tx>
            <c:strRef>
              <c:f>'2014 Smartphone Sales'!$D$1</c:f>
              <c:strCache>
                <c:ptCount val="1"/>
                <c:pt idx="0">
                  <c:v>Smartphone Upgrades In 2014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'2014 Smartphone Sales'!$A$3:$A$18</c:f>
              <c:strCache>
                <c:ptCount val="16"/>
                <c:pt idx="0">
                  <c:v>China</c:v>
                </c:pt>
                <c:pt idx="1">
                  <c:v>India</c:v>
                </c:pt>
                <c:pt idx="2">
                  <c:v>USA</c:v>
                </c:pt>
                <c:pt idx="3">
                  <c:v>Brazil</c:v>
                </c:pt>
                <c:pt idx="4">
                  <c:v>Indonesia</c:v>
                </c:pt>
                <c:pt idx="5">
                  <c:v>Russia</c:v>
                </c:pt>
                <c:pt idx="6">
                  <c:v>Japan</c:v>
                </c:pt>
                <c:pt idx="7">
                  <c:v>Mexico</c:v>
                </c:pt>
                <c:pt idx="8">
                  <c:v>Germany</c:v>
                </c:pt>
                <c:pt idx="9">
                  <c:v>France</c:v>
                </c:pt>
                <c:pt idx="10">
                  <c:v>UK</c:v>
                </c:pt>
                <c:pt idx="11">
                  <c:v>Others</c:v>
                </c:pt>
                <c:pt idx="12">
                  <c:v>Italy</c:v>
                </c:pt>
                <c:pt idx="13">
                  <c:v>Australia</c:v>
                </c:pt>
                <c:pt idx="14">
                  <c:v>Malaysia</c:v>
                </c:pt>
                <c:pt idx="15">
                  <c:v>Sweden</c:v>
                </c:pt>
              </c:strCache>
            </c:strRef>
          </c:cat>
          <c:val>
            <c:numRef>
              <c:f>'2014 Smartphone Sales'!$D$3:$D$18</c:f>
              <c:numCache>
                <c:formatCode>General</c:formatCode>
                <c:ptCount val="16"/>
                <c:pt idx="0">
                  <c:v>66.81</c:v>
                </c:pt>
                <c:pt idx="1">
                  <c:v>17.09</c:v>
                </c:pt>
                <c:pt idx="2">
                  <c:v>41.33</c:v>
                </c:pt>
                <c:pt idx="3">
                  <c:v>8.440000000000005</c:v>
                </c:pt>
                <c:pt idx="4">
                  <c:v>5.64</c:v>
                </c:pt>
                <c:pt idx="5">
                  <c:v>10.05</c:v>
                </c:pt>
                <c:pt idx="6">
                  <c:v>7.48</c:v>
                </c:pt>
                <c:pt idx="7">
                  <c:v>6.969999999999999</c:v>
                </c:pt>
                <c:pt idx="8">
                  <c:v>10.09</c:v>
                </c:pt>
                <c:pt idx="9">
                  <c:v>7.559999999999999</c:v>
                </c:pt>
                <c:pt idx="10">
                  <c:v>9.47</c:v>
                </c:pt>
                <c:pt idx="12">
                  <c:v>5.15</c:v>
                </c:pt>
                <c:pt idx="13">
                  <c:v>3.64</c:v>
                </c:pt>
                <c:pt idx="14">
                  <c:v>1.27</c:v>
                </c:pt>
                <c:pt idx="15">
                  <c:v>1.35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8271768"/>
        <c:axId val="2098277624"/>
      </c:barChart>
      <c:catAx>
        <c:axId val="2098271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0" i="1"/>
                  <a:t>Source: Mediacells</a:t>
                </a:r>
                <a:r>
                  <a:rPr lang="en-US" sz="1800" b="0" i="1" baseline="0"/>
                  <a:t> via The Guardian</a:t>
                </a:r>
                <a:endParaRPr lang="en-US" sz="1800" b="0" i="1"/>
              </a:p>
            </c:rich>
          </c:tx>
          <c:layout>
            <c:manualLayout>
              <c:xMode val="edge"/>
              <c:yMode val="edge"/>
              <c:x val="0.000692913385826752"/>
              <c:y val="0.972138302497464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8277624"/>
        <c:crosses val="autoZero"/>
        <c:auto val="1"/>
        <c:lblAlgn val="ctr"/>
        <c:lblOffset val="100"/>
        <c:noMultiLvlLbl val="0"/>
      </c:catAx>
      <c:valAx>
        <c:axId val="20982776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2000"/>
                  <a:t>Millions Of  Smartphones</a:t>
                </a:r>
              </a:p>
            </c:rich>
          </c:tx>
          <c:layout>
            <c:manualLayout>
              <c:xMode val="edge"/>
              <c:yMode val="edge"/>
              <c:x val="0.000966183574879227"/>
              <c:y val="0.2201127964832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82717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1671773441499"/>
          <c:y val="0.93038846391232"/>
          <c:w val="0.662444801256477"/>
          <c:h val="0.0382016945031515"/>
        </c:manualLayout>
      </c:layout>
      <c:overlay val="0"/>
      <c:txPr>
        <a:bodyPr/>
        <a:lstStyle/>
        <a:p>
          <a:pPr>
            <a:defRPr sz="2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400">
                <a:solidFill>
                  <a:srgbClr val="000000"/>
                </a:solidFill>
              </a:defRPr>
            </a:pPr>
            <a:r>
              <a:rPr lang="en-US" sz="4400">
                <a:solidFill>
                  <a:srgbClr val="000000"/>
                </a:solidFill>
              </a:rPr>
              <a:t>Chinese Internet</a:t>
            </a:r>
            <a:r>
              <a:rPr lang="en-US" sz="4400" baseline="0">
                <a:solidFill>
                  <a:srgbClr val="000000"/>
                </a:solidFill>
              </a:rPr>
              <a:t> Users</a:t>
            </a:r>
            <a:endParaRPr lang="en-US" sz="4400">
              <a:solidFill>
                <a:srgbClr val="000000"/>
              </a:solidFill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ChineseInternetUsers!$A$2</c:f>
              <c:strCache>
                <c:ptCount val="1"/>
                <c:pt idx="0">
                  <c:v>Mobile Users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-0.00623330365093499"/>
                  <c:y val="-0.0617662498070094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5"/>
              <c:delete val="1"/>
            </c:dLbl>
            <c:txPr>
              <a:bodyPr/>
              <a:lstStyle/>
              <a:p>
                <a:pPr>
                  <a:defRPr sz="2000" b="1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ChineseInternetUsers!$B$1:$Q$1</c:f>
              <c:strCache>
                <c:ptCount val="16"/>
                <c:pt idx="0">
                  <c:v>June 06</c:v>
                </c:pt>
                <c:pt idx="1">
                  <c:v>Dec 06</c:v>
                </c:pt>
                <c:pt idx="2">
                  <c:v>June 07</c:v>
                </c:pt>
                <c:pt idx="3">
                  <c:v>Dec 07</c:v>
                </c:pt>
                <c:pt idx="4">
                  <c:v>June 08</c:v>
                </c:pt>
                <c:pt idx="5">
                  <c:v>Dec 08</c:v>
                </c:pt>
                <c:pt idx="6">
                  <c:v>June 09</c:v>
                </c:pt>
                <c:pt idx="7">
                  <c:v>Dec 09</c:v>
                </c:pt>
                <c:pt idx="8">
                  <c:v>June 10</c:v>
                </c:pt>
                <c:pt idx="9">
                  <c:v>Dec 10</c:v>
                </c:pt>
                <c:pt idx="10">
                  <c:v>June 11</c:v>
                </c:pt>
                <c:pt idx="11">
                  <c:v>Dec 11</c:v>
                </c:pt>
                <c:pt idx="12">
                  <c:v>June 12</c:v>
                </c:pt>
                <c:pt idx="13">
                  <c:v>Dec 12</c:v>
                </c:pt>
                <c:pt idx="14">
                  <c:v>June 13</c:v>
                </c:pt>
                <c:pt idx="15">
                  <c:v>Dec 13</c:v>
                </c:pt>
              </c:strCache>
            </c:strRef>
          </c:cat>
          <c:val>
            <c:numRef>
              <c:f>ChineseInternetUsers!$B$2:$Q$2</c:f>
              <c:numCache>
                <c:formatCode>General</c:formatCode>
                <c:ptCount val="16"/>
                <c:pt idx="0">
                  <c:v>13.0</c:v>
                </c:pt>
                <c:pt idx="1">
                  <c:v>17.0</c:v>
                </c:pt>
                <c:pt idx="2">
                  <c:v>44.3</c:v>
                </c:pt>
                <c:pt idx="3">
                  <c:v>50.4</c:v>
                </c:pt>
                <c:pt idx="4">
                  <c:v>73.05</c:v>
                </c:pt>
                <c:pt idx="5">
                  <c:v>117.0</c:v>
                </c:pt>
                <c:pt idx="6">
                  <c:v>155.0</c:v>
                </c:pt>
                <c:pt idx="7">
                  <c:v>233.0</c:v>
                </c:pt>
                <c:pt idx="8">
                  <c:v>277.0</c:v>
                </c:pt>
                <c:pt idx="9">
                  <c:v>303.0</c:v>
                </c:pt>
                <c:pt idx="10">
                  <c:v>318.0</c:v>
                </c:pt>
                <c:pt idx="11">
                  <c:v>356.0</c:v>
                </c:pt>
                <c:pt idx="12">
                  <c:v>388.0</c:v>
                </c:pt>
                <c:pt idx="13">
                  <c:v>420.0</c:v>
                </c:pt>
                <c:pt idx="14">
                  <c:v>460.0</c:v>
                </c:pt>
                <c:pt idx="15">
                  <c:v>500.0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ChineseInternetUsers!$A$4</c:f>
              <c:strCache>
                <c:ptCount val="1"/>
                <c:pt idx="0">
                  <c:v>Total Users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-0.0160284951024043"/>
                  <c:y val="-0.04869285724311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5"/>
              <c:delete val="1"/>
            </c:dLbl>
            <c:txPr>
              <a:bodyPr/>
              <a:lstStyle/>
              <a:p>
                <a:pPr>
                  <a:defRPr sz="2000" b="1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ChineseInternetUsers!$B$1:$Q$1</c:f>
              <c:strCache>
                <c:ptCount val="16"/>
                <c:pt idx="0">
                  <c:v>June 06</c:v>
                </c:pt>
                <c:pt idx="1">
                  <c:v>Dec 06</c:v>
                </c:pt>
                <c:pt idx="2">
                  <c:v>June 07</c:v>
                </c:pt>
                <c:pt idx="3">
                  <c:v>Dec 07</c:v>
                </c:pt>
                <c:pt idx="4">
                  <c:v>June 08</c:v>
                </c:pt>
                <c:pt idx="5">
                  <c:v>Dec 08</c:v>
                </c:pt>
                <c:pt idx="6">
                  <c:v>June 09</c:v>
                </c:pt>
                <c:pt idx="7">
                  <c:v>Dec 09</c:v>
                </c:pt>
                <c:pt idx="8">
                  <c:v>June 10</c:v>
                </c:pt>
                <c:pt idx="9">
                  <c:v>Dec 10</c:v>
                </c:pt>
                <c:pt idx="10">
                  <c:v>June 11</c:v>
                </c:pt>
                <c:pt idx="11">
                  <c:v>Dec 11</c:v>
                </c:pt>
                <c:pt idx="12">
                  <c:v>June 12</c:v>
                </c:pt>
                <c:pt idx="13">
                  <c:v>Dec 12</c:v>
                </c:pt>
                <c:pt idx="14">
                  <c:v>June 13</c:v>
                </c:pt>
                <c:pt idx="15">
                  <c:v>Dec 13</c:v>
                </c:pt>
              </c:strCache>
            </c:strRef>
          </c:cat>
          <c:val>
            <c:numRef>
              <c:f>ChineseInternetUsers!$B$4:$Q$4</c:f>
              <c:numCache>
                <c:formatCode>General</c:formatCode>
                <c:ptCount val="16"/>
                <c:pt idx="0">
                  <c:v>123.0</c:v>
                </c:pt>
                <c:pt idx="1">
                  <c:v>137.0</c:v>
                </c:pt>
                <c:pt idx="2">
                  <c:v>162.0</c:v>
                </c:pt>
                <c:pt idx="3">
                  <c:v>210.0</c:v>
                </c:pt>
                <c:pt idx="4">
                  <c:v>253.0</c:v>
                </c:pt>
                <c:pt idx="5">
                  <c:v>298.0</c:v>
                </c:pt>
                <c:pt idx="6">
                  <c:v>338.0</c:v>
                </c:pt>
                <c:pt idx="7">
                  <c:v>384.0</c:v>
                </c:pt>
                <c:pt idx="8">
                  <c:v>420.0</c:v>
                </c:pt>
                <c:pt idx="9">
                  <c:v>457.0</c:v>
                </c:pt>
                <c:pt idx="10">
                  <c:v>485.0</c:v>
                </c:pt>
                <c:pt idx="11">
                  <c:v>513.0</c:v>
                </c:pt>
                <c:pt idx="12">
                  <c:v>538.0</c:v>
                </c:pt>
                <c:pt idx="13">
                  <c:v>564.0</c:v>
                </c:pt>
                <c:pt idx="14">
                  <c:v>591.0</c:v>
                </c:pt>
                <c:pt idx="15" formatCode="0">
                  <c:v>617.283950617284</c:v>
                </c:pt>
              </c:numCache>
            </c:numRef>
          </c:val>
          <c:smooth val="0"/>
        </c:ser>
        <c:ser>
          <c:idx val="1"/>
          <c:order val="2"/>
          <c:marker>
            <c:symbol val="none"/>
          </c:marker>
          <c:dLbls>
            <c:dLbl>
              <c:idx val="1"/>
              <c:delete val="1"/>
            </c:dLbl>
            <c:dLbl>
              <c:idx val="3"/>
              <c:delete val="1"/>
            </c:dLbl>
            <c:dLbl>
              <c:idx val="5"/>
              <c:delete val="1"/>
            </c:dLbl>
            <c:dLbl>
              <c:idx val="7"/>
              <c:delete val="1"/>
            </c:dLbl>
            <c:dLbl>
              <c:idx val="9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layout>
                <c:manualLayout>
                  <c:x val="-0.0151380231522708"/>
                  <c:y val="-0.019013666072489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000000"/>
                        </a:solidFill>
                      </a:rPr>
                      <a:t>U.S. Users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 b="1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ChineseInternetUsers!$B$1:$Q$1</c:f>
              <c:strCache>
                <c:ptCount val="16"/>
                <c:pt idx="0">
                  <c:v>June 06</c:v>
                </c:pt>
                <c:pt idx="1">
                  <c:v>Dec 06</c:v>
                </c:pt>
                <c:pt idx="2">
                  <c:v>June 07</c:v>
                </c:pt>
                <c:pt idx="3">
                  <c:v>Dec 07</c:v>
                </c:pt>
                <c:pt idx="4">
                  <c:v>June 08</c:v>
                </c:pt>
                <c:pt idx="5">
                  <c:v>Dec 08</c:v>
                </c:pt>
                <c:pt idx="6">
                  <c:v>June 09</c:v>
                </c:pt>
                <c:pt idx="7">
                  <c:v>Dec 09</c:v>
                </c:pt>
                <c:pt idx="8">
                  <c:v>June 10</c:v>
                </c:pt>
                <c:pt idx="9">
                  <c:v>Dec 10</c:v>
                </c:pt>
                <c:pt idx="10">
                  <c:v>June 11</c:v>
                </c:pt>
                <c:pt idx="11">
                  <c:v>Dec 11</c:v>
                </c:pt>
                <c:pt idx="12">
                  <c:v>June 12</c:v>
                </c:pt>
                <c:pt idx="13">
                  <c:v>Dec 12</c:v>
                </c:pt>
                <c:pt idx="14">
                  <c:v>June 13</c:v>
                </c:pt>
                <c:pt idx="15">
                  <c:v>Dec 13</c:v>
                </c:pt>
              </c:strCache>
            </c:strRef>
          </c:cat>
          <c:val>
            <c:numRef>
              <c:f>ChineseInternetUsers!$B$5:$Q$5</c:f>
              <c:numCache>
                <c:formatCode>General</c:formatCode>
                <c:ptCount val="16"/>
                <c:pt idx="1">
                  <c:v>203.8</c:v>
                </c:pt>
                <c:pt idx="3">
                  <c:v>212.1</c:v>
                </c:pt>
                <c:pt idx="5">
                  <c:v>220.1</c:v>
                </c:pt>
                <c:pt idx="7">
                  <c:v>227.7</c:v>
                </c:pt>
                <c:pt idx="9">
                  <c:v>239.9</c:v>
                </c:pt>
                <c:pt idx="13">
                  <c:v>254.3</c:v>
                </c:pt>
                <c:pt idx="14">
                  <c:v>265.8</c:v>
                </c:pt>
                <c:pt idx="15">
                  <c:v>266.815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8407176"/>
        <c:axId val="2098412792"/>
      </c:lineChart>
      <c:catAx>
        <c:axId val="2098407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 i="1">
                    <a:solidFill>
                      <a:srgbClr val="000000"/>
                    </a:solidFill>
                  </a:defRPr>
                </a:pPr>
                <a:r>
                  <a:rPr lang="en-US" sz="1800" b="0" i="1">
                    <a:solidFill>
                      <a:srgbClr val="000000"/>
                    </a:solidFill>
                  </a:rPr>
                  <a:t>Source: China Internet Network Information Center</a:t>
                </a:r>
              </a:p>
            </c:rich>
          </c:tx>
          <c:layout>
            <c:manualLayout>
              <c:xMode val="edge"/>
              <c:yMode val="edge"/>
              <c:x val="0.000296590263705912"/>
              <c:y val="0.969614252763859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8412792"/>
        <c:crosses val="autoZero"/>
        <c:auto val="1"/>
        <c:lblAlgn val="ctr"/>
        <c:lblOffset val="100"/>
        <c:noMultiLvlLbl val="0"/>
      </c:catAx>
      <c:valAx>
        <c:axId val="20984127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r>
                  <a:rPr lang="en-US" sz="2000">
                    <a:solidFill>
                      <a:srgbClr val="000000"/>
                    </a:solidFill>
                  </a:rPr>
                  <a:t>Millions Of Internet</a:t>
                </a:r>
                <a:r>
                  <a:rPr lang="en-US" sz="2000" baseline="0">
                    <a:solidFill>
                      <a:srgbClr val="000000"/>
                    </a:solidFill>
                  </a:rPr>
                  <a:t> Users</a:t>
                </a:r>
                <a:endParaRPr lang="en-US" sz="2000">
                  <a:solidFill>
                    <a:srgbClr val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00801424755120213"/>
              <c:y val="0.37302501625799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8407176"/>
        <c:crosses val="autoZero"/>
        <c:crossBetween val="between"/>
      </c:valAx>
      <c:spPr>
        <a:noFill/>
      </c:spPr>
    </c:plotArea>
    <c:plotVisOnly val="1"/>
    <c:dispBlanksAs val="span"/>
    <c:showDLblsOverMax val="0"/>
  </c:chart>
  <c:spPr>
    <a:solidFill>
      <a:srgbClr val="FFFFFF"/>
    </a:solidFill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000"/>
            </a:pPr>
            <a:r>
              <a:rPr lang="en-US" sz="4000"/>
              <a:t>Total App Downloads</a:t>
            </a:r>
            <a:r>
              <a:rPr lang="en-US" sz="4000" baseline="0"/>
              <a:t> vs. App Downloads Per Capita </a:t>
            </a:r>
            <a:r>
              <a:rPr lang="en-US" sz="2400" b="0" i="1" baseline="0"/>
              <a:t>By Country, April 2013</a:t>
            </a:r>
            <a:endParaRPr lang="en-US" sz="2400" b="0" i="1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Total App Downloads</c:v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0.00178094390026712"/>
                  <c:y val="0.34771719004245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AppsPerCapita!$A$3:$A$11</c:f>
              <c:strCache>
                <c:ptCount val="9"/>
                <c:pt idx="0">
                  <c:v>USA</c:v>
                </c:pt>
                <c:pt idx="1">
                  <c:v>UK</c:v>
                </c:pt>
                <c:pt idx="2">
                  <c:v>Germany</c:v>
                </c:pt>
                <c:pt idx="3">
                  <c:v>France</c:v>
                </c:pt>
                <c:pt idx="4">
                  <c:v>Brazil</c:v>
                </c:pt>
                <c:pt idx="5">
                  <c:v>Russia</c:v>
                </c:pt>
                <c:pt idx="6">
                  <c:v>Australia</c:v>
                </c:pt>
                <c:pt idx="7">
                  <c:v>China</c:v>
                </c:pt>
                <c:pt idx="8">
                  <c:v>Japan</c:v>
                </c:pt>
              </c:strCache>
            </c:strRef>
          </c:cat>
          <c:val>
            <c:numRef>
              <c:f>AppsPerCapita!$F$3:$F$11</c:f>
              <c:numCache>
                <c:formatCode>_(* #,##0_);_(* \(#,##0\);_(* "-"??_);_(@_)</c:formatCode>
                <c:ptCount val="9"/>
                <c:pt idx="0">
                  <c:v>1358.08</c:v>
                </c:pt>
                <c:pt idx="1">
                  <c:v>293.95</c:v>
                </c:pt>
                <c:pt idx="2">
                  <c:v>184.58</c:v>
                </c:pt>
                <c:pt idx="3">
                  <c:v>139.13</c:v>
                </c:pt>
                <c:pt idx="4">
                  <c:v>129.82</c:v>
                </c:pt>
                <c:pt idx="5">
                  <c:v>244.19</c:v>
                </c:pt>
                <c:pt idx="6">
                  <c:v>79.23</c:v>
                </c:pt>
                <c:pt idx="7">
                  <c:v>506.89</c:v>
                </c:pt>
                <c:pt idx="8">
                  <c:v>314.51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8461800"/>
        <c:axId val="2098467736"/>
      </c:barChart>
      <c:scatterChart>
        <c:scatterStyle val="lineMarker"/>
        <c:varyColors val="0"/>
        <c:ser>
          <c:idx val="0"/>
          <c:order val="0"/>
          <c:tx>
            <c:v>App Downloads Per Capita</c:v>
          </c:tx>
          <c:spPr>
            <a:ln w="47625">
              <a:noFill/>
            </a:ln>
          </c:spPr>
          <c:marker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dLbls>
            <c:dLbl>
              <c:idx val="6"/>
              <c:layout>
                <c:manualLayout>
                  <c:x val="0.0115761353517364"/>
                  <c:y val="-0.01306413301662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strRef>
              <c:f>AppsPerCapita!$A$3:$A$11</c:f>
              <c:strCache>
                <c:ptCount val="9"/>
                <c:pt idx="0">
                  <c:v>USA</c:v>
                </c:pt>
                <c:pt idx="1">
                  <c:v>UK</c:v>
                </c:pt>
                <c:pt idx="2">
                  <c:v>Germany</c:v>
                </c:pt>
                <c:pt idx="3">
                  <c:v>France</c:v>
                </c:pt>
                <c:pt idx="4">
                  <c:v>Brazil</c:v>
                </c:pt>
                <c:pt idx="5">
                  <c:v>Russia</c:v>
                </c:pt>
                <c:pt idx="6">
                  <c:v>Australia</c:v>
                </c:pt>
                <c:pt idx="7">
                  <c:v>China</c:v>
                </c:pt>
                <c:pt idx="8">
                  <c:v>Japan</c:v>
                </c:pt>
              </c:strCache>
            </c:strRef>
          </c:xVal>
          <c:yVal>
            <c:numRef>
              <c:f>AppsPerCapita!$H$3:$H$11</c:f>
              <c:numCache>
                <c:formatCode>0.00</c:formatCode>
                <c:ptCount val="9"/>
                <c:pt idx="0">
                  <c:v>4.296361910787725</c:v>
                </c:pt>
                <c:pt idx="1">
                  <c:v>4.651107594936708</c:v>
                </c:pt>
                <c:pt idx="2">
                  <c:v>2.295771144278607</c:v>
                </c:pt>
                <c:pt idx="3">
                  <c:v>2.120884146341463</c:v>
                </c:pt>
                <c:pt idx="4">
                  <c:v>0.669520371325425</c:v>
                </c:pt>
                <c:pt idx="5">
                  <c:v>1.702859135285913</c:v>
                </c:pt>
                <c:pt idx="6">
                  <c:v>3.42987012987013</c:v>
                </c:pt>
                <c:pt idx="7">
                  <c:v>0.374364844903988</c:v>
                </c:pt>
                <c:pt idx="8">
                  <c:v>2.470620581304006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8478744"/>
        <c:axId val="2098473256"/>
      </c:scatterChart>
      <c:catAx>
        <c:axId val="2098461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0" i="1"/>
                  <a:t>Source: XYO,</a:t>
                </a:r>
                <a:r>
                  <a:rPr lang="en-US" sz="1800" b="0" i="1" baseline="0"/>
                  <a:t> BII Estimates</a:t>
                </a:r>
                <a:endParaRPr lang="en-US" sz="1800" b="0" i="1"/>
              </a:p>
            </c:rich>
          </c:tx>
          <c:layout>
            <c:manualLayout>
              <c:xMode val="edge"/>
              <c:yMode val="edge"/>
              <c:x val="0.00307367077779572"/>
              <c:y val="0.967736547777134"/>
            </c:manualLayout>
          </c:layout>
          <c:overlay val="0"/>
        </c:title>
        <c:majorTickMark val="out"/>
        <c:minorTickMark val="none"/>
        <c:tickLblPos val="nextTo"/>
        <c:crossAx val="2098467736"/>
        <c:crosses val="autoZero"/>
        <c:auto val="1"/>
        <c:lblAlgn val="ctr"/>
        <c:lblOffset val="100"/>
        <c:noMultiLvlLbl val="0"/>
      </c:catAx>
      <c:valAx>
        <c:axId val="20984677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App Downlaods (Millions)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098461800"/>
        <c:crosses val="autoZero"/>
        <c:crossBetween val="between"/>
      </c:valAx>
      <c:valAx>
        <c:axId val="209847325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App Downloads Per Capita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098478744"/>
        <c:crosses val="max"/>
        <c:crossBetween val="midCat"/>
      </c:valAx>
      <c:valAx>
        <c:axId val="2098478744"/>
        <c:scaling>
          <c:orientation val="minMax"/>
        </c:scaling>
        <c:delete val="1"/>
        <c:axPos val="b"/>
        <c:majorTickMark val="out"/>
        <c:minorTickMark val="none"/>
        <c:tickLblPos val="nextTo"/>
        <c:crossAx val="209847325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27658072794329"/>
          <c:y val="0.927356500271195"/>
          <c:w val="0.462866969099922"/>
          <c:h val="0.038201694503151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46967218887957"/>
          <c:y val="0.115286863425147"/>
          <c:w val="0.870644329033339"/>
          <c:h val="0.721440875243219"/>
        </c:manualLayout>
      </c:layout>
      <c:lineChart>
        <c:grouping val="standard"/>
        <c:varyColors val="0"/>
        <c:ser>
          <c:idx val="0"/>
          <c:order val="0"/>
          <c:tx>
            <c:strRef>
              <c:f>Phablets!$B$2</c:f>
              <c:strCache>
                <c:ptCount val="1"/>
                <c:pt idx="0">
                  <c:v>Laptop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layout>
                <c:manualLayout>
                  <c:x val="-0.0231491104873673"/>
                  <c:y val="-0.0201810735870136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txPr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Phablets!$A$3:$A$9</c:f>
              <c:strCache>
                <c:ptCount val="7"/>
                <c:pt idx="0">
                  <c:v>2011 Q4</c:v>
                </c:pt>
                <c:pt idx="1">
                  <c:v>2012 Q1</c:v>
                </c:pt>
                <c:pt idx="2">
                  <c:v>2012 Q2</c:v>
                </c:pt>
                <c:pt idx="3">
                  <c:v>2012 Q3</c:v>
                </c:pt>
                <c:pt idx="4">
                  <c:v>2012 Q4</c:v>
                </c:pt>
                <c:pt idx="5">
                  <c:v>2013 Q1</c:v>
                </c:pt>
                <c:pt idx="6">
                  <c:v>2013 Q2</c:v>
                </c:pt>
              </c:strCache>
            </c:strRef>
          </c:cat>
          <c:val>
            <c:numRef>
              <c:f>Phablets!$B$3:$B$9</c:f>
              <c:numCache>
                <c:formatCode>General</c:formatCode>
                <c:ptCount val="7"/>
                <c:pt idx="0">
                  <c:v>1.42E7</c:v>
                </c:pt>
                <c:pt idx="1">
                  <c:v>1.5E7</c:v>
                </c:pt>
                <c:pt idx="2">
                  <c:v>1.43E7</c:v>
                </c:pt>
                <c:pt idx="3">
                  <c:v>1.52E7</c:v>
                </c:pt>
                <c:pt idx="4">
                  <c:v>1.29E7</c:v>
                </c:pt>
                <c:pt idx="5">
                  <c:v>1.27E7</c:v>
                </c:pt>
                <c:pt idx="6">
                  <c:v>1.27E7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Phablets!$D$2</c:f>
              <c:strCache>
                <c:ptCount val="1"/>
                <c:pt idx="0">
                  <c:v>Tablet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layout>
                <c:manualLayout>
                  <c:x val="-0.0614341778318593"/>
                  <c:y val="-0.00830981534076047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txPr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Phablets!$A$3:$A$9</c:f>
              <c:strCache>
                <c:ptCount val="7"/>
                <c:pt idx="0">
                  <c:v>2011 Q4</c:v>
                </c:pt>
                <c:pt idx="1">
                  <c:v>2012 Q1</c:v>
                </c:pt>
                <c:pt idx="2">
                  <c:v>2012 Q2</c:v>
                </c:pt>
                <c:pt idx="3">
                  <c:v>2012 Q3</c:v>
                </c:pt>
                <c:pt idx="4">
                  <c:v>2012 Q4</c:v>
                </c:pt>
                <c:pt idx="5">
                  <c:v>2013 Q1</c:v>
                </c:pt>
                <c:pt idx="6">
                  <c:v>2013 Q2</c:v>
                </c:pt>
              </c:strCache>
            </c:strRef>
          </c:cat>
          <c:val>
            <c:numRef>
              <c:f>Phablets!$D$3:$D$9</c:f>
              <c:numCache>
                <c:formatCode>General</c:formatCode>
                <c:ptCount val="7"/>
                <c:pt idx="0">
                  <c:v>5.99E6</c:v>
                </c:pt>
                <c:pt idx="1">
                  <c:v>5.85E6</c:v>
                </c:pt>
                <c:pt idx="2">
                  <c:v>7.5E6</c:v>
                </c:pt>
                <c:pt idx="3">
                  <c:v>1.1E7</c:v>
                </c:pt>
                <c:pt idx="4">
                  <c:v>1.29E7</c:v>
                </c:pt>
                <c:pt idx="5">
                  <c:v>1.51E7</c:v>
                </c:pt>
                <c:pt idx="6">
                  <c:v>1.27E7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Phablets!$F$2</c:f>
              <c:strCache>
                <c:ptCount val="1"/>
                <c:pt idx="0">
                  <c:v>Phablet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-0.00801315363024252"/>
                  <c:y val="-0.0142453977270178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Phablets!$A$3:$A$9</c:f>
              <c:strCache>
                <c:ptCount val="7"/>
                <c:pt idx="0">
                  <c:v>2011 Q4</c:v>
                </c:pt>
                <c:pt idx="1">
                  <c:v>2012 Q1</c:v>
                </c:pt>
                <c:pt idx="2">
                  <c:v>2012 Q2</c:v>
                </c:pt>
                <c:pt idx="3">
                  <c:v>2012 Q3</c:v>
                </c:pt>
                <c:pt idx="4">
                  <c:v>2012 Q4</c:v>
                </c:pt>
                <c:pt idx="5">
                  <c:v>2013 Q1</c:v>
                </c:pt>
                <c:pt idx="6">
                  <c:v>2013 Q2</c:v>
                </c:pt>
              </c:strCache>
            </c:strRef>
          </c:cat>
          <c:val>
            <c:numRef>
              <c:f>Phablets!$F$3:$F$9</c:f>
              <c:numCache>
                <c:formatCode>General</c:formatCode>
                <c:ptCount val="7"/>
                <c:pt idx="0">
                  <c:v>900000.0</c:v>
                </c:pt>
                <c:pt idx="1">
                  <c:v>2.9E6</c:v>
                </c:pt>
                <c:pt idx="2">
                  <c:v>3.4E6</c:v>
                </c:pt>
                <c:pt idx="3">
                  <c:v>3.35E6</c:v>
                </c:pt>
                <c:pt idx="4">
                  <c:v>7.6E6</c:v>
                </c:pt>
                <c:pt idx="5">
                  <c:v>1.27E7</c:v>
                </c:pt>
                <c:pt idx="6">
                  <c:v>2.5E7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587640"/>
        <c:axId val="2070740792"/>
      </c:lineChart>
      <c:catAx>
        <c:axId val="2070587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>
                    <a:solidFill>
                      <a:srgbClr val="000000"/>
                    </a:solidFill>
                  </a:defRPr>
                </a:pPr>
                <a:r>
                  <a:rPr lang="en-US" sz="1800" b="0" i="1">
                    <a:solidFill>
                      <a:srgbClr val="000000"/>
                    </a:solidFill>
                  </a:rPr>
                  <a:t>Source: International Data Corporation</a:t>
                </a:r>
                <a:r>
                  <a:rPr lang="en-US" sz="1800" b="0" i="1" baseline="0">
                    <a:solidFill>
                      <a:srgbClr val="000000"/>
                    </a:solidFill>
                  </a:rPr>
                  <a:t> August 2013</a:t>
                </a:r>
              </a:p>
              <a:p>
                <a:pPr algn="l">
                  <a:defRPr>
                    <a:solidFill>
                      <a:srgbClr val="000000"/>
                    </a:solidFill>
                  </a:defRPr>
                </a:pPr>
                <a:r>
                  <a:rPr lang="en-US" sz="1800" b="0" i="1">
                    <a:solidFill>
                      <a:srgbClr val="000000"/>
                    </a:solidFill>
                    <a:effectLst/>
                  </a:rPr>
                  <a:t>"Asia</a:t>
                </a:r>
                <a:r>
                  <a:rPr lang="en-US" sz="1800" b="0" i="1" baseline="0">
                    <a:solidFill>
                      <a:srgbClr val="000000"/>
                    </a:solidFill>
                    <a:effectLst/>
                  </a:rPr>
                  <a:t>" excludes Japan and includes Australia, China, Hong Kong, India, Indonesia, Korea, </a:t>
                </a:r>
                <a:endParaRPr lang="en-US" sz="1800" i="1">
                  <a:solidFill>
                    <a:srgbClr val="000000"/>
                  </a:solidFill>
                  <a:effectLst/>
                </a:endParaRPr>
              </a:p>
              <a:p>
                <a:pPr algn="l">
                  <a:defRPr>
                    <a:solidFill>
                      <a:srgbClr val="000000"/>
                    </a:solidFill>
                  </a:defRPr>
                </a:pPr>
                <a:r>
                  <a:rPr lang="en-US" sz="1800" b="0" i="1" baseline="0">
                    <a:solidFill>
                      <a:srgbClr val="000000"/>
                    </a:solidFill>
                    <a:effectLst/>
                  </a:rPr>
                  <a:t>Malaysia, New Zealand, Philippines, Singapore, Taiwan, Thailand, and Vietnam.</a:t>
                </a:r>
                <a:endParaRPr lang="en-US" sz="1800" i="1">
                  <a:solidFill>
                    <a:srgbClr val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000657316959205196"/>
              <c:y val="0.919513502842349"/>
            </c:manualLayout>
          </c:layout>
          <c:overlay val="0"/>
        </c:title>
        <c:majorTickMark val="none"/>
        <c:minorTickMark val="out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70740792"/>
        <c:crosses val="autoZero"/>
        <c:auto val="1"/>
        <c:lblAlgn val="ctr"/>
        <c:lblOffset val="100"/>
        <c:noMultiLvlLbl val="0"/>
      </c:catAx>
      <c:valAx>
        <c:axId val="2070740792"/>
        <c:scaling>
          <c:orientation val="minMax"/>
          <c:min val="0.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70587640"/>
        <c:crosses val="autoZero"/>
        <c:crossBetween val="between"/>
        <c:majorUnit val="3.0E6"/>
        <c:dispUnits>
          <c:builtInUnit val="millions"/>
          <c:dispUnitsLbl>
            <c:layout>
              <c:manualLayout>
                <c:xMode val="edge"/>
                <c:yMode val="edge"/>
                <c:x val="0.00912006784780901"/>
                <c:y val="0.30385755155597"/>
              </c:manualLayout>
            </c:layout>
            <c:tx>
              <c:rich>
                <a:bodyPr/>
                <a:lstStyle/>
                <a:p>
                  <a:pPr>
                    <a:defRPr sz="2000">
                      <a:solidFill>
                        <a:srgbClr val="000000"/>
                      </a:solidFill>
                    </a:defRPr>
                  </a:pPr>
                  <a:r>
                    <a:rPr lang="en-US" sz="2000">
                      <a:solidFill>
                        <a:srgbClr val="000000"/>
                      </a:solidFill>
                    </a:rPr>
                    <a:t>Millions Of Units Shipped</a:t>
                  </a:r>
                </a:p>
              </c:rich>
            </c:tx>
          </c:dispUnitsLbl>
        </c:dispUnits>
      </c:valAx>
      <c:spPr>
        <a:noFill/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000">
                <a:solidFill>
                  <a:srgbClr val="000000"/>
                </a:solidFill>
              </a:defRPr>
            </a:pPr>
            <a:r>
              <a:rPr lang="en-US" sz="4000">
                <a:solidFill>
                  <a:srgbClr val="000000"/>
                </a:solidFill>
              </a:rPr>
              <a:t>Global Smartphone</a:t>
            </a:r>
            <a:r>
              <a:rPr lang="en-US" sz="4000" baseline="0">
                <a:solidFill>
                  <a:srgbClr val="000000"/>
                </a:solidFill>
              </a:rPr>
              <a:t> Average Selling Price Forecast</a:t>
            </a:r>
            <a:endParaRPr lang="en-US" sz="4000">
              <a:solidFill>
                <a:srgbClr val="000000"/>
              </a:solidFill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SmartphoneASP!$F$2:$L$2</c:f>
              <c:strCache>
                <c:ptCount val="7"/>
                <c:pt idx="0">
                  <c:v>2010A</c:v>
                </c:pt>
                <c:pt idx="1">
                  <c:v>2011A</c:v>
                </c:pt>
                <c:pt idx="2">
                  <c:v>2012A</c:v>
                </c:pt>
                <c:pt idx="3">
                  <c:v>2013E</c:v>
                </c:pt>
                <c:pt idx="4">
                  <c:v>2014E</c:v>
                </c:pt>
                <c:pt idx="5">
                  <c:v>2015E</c:v>
                </c:pt>
                <c:pt idx="6">
                  <c:v>2016E</c:v>
                </c:pt>
              </c:strCache>
            </c:strRef>
          </c:cat>
          <c:val>
            <c:numRef>
              <c:f>SmartphoneASP!$F$3:$L$3</c:f>
              <c:numCache>
                <c:formatCode>_("$"* #,##0_);_("$"* \(#,##0\);_("$"* "-"??_);_(@_)</c:formatCode>
                <c:ptCount val="7"/>
                <c:pt idx="0">
                  <c:v>330.0</c:v>
                </c:pt>
                <c:pt idx="1">
                  <c:v>313.5</c:v>
                </c:pt>
                <c:pt idx="2">
                  <c:v>297.825</c:v>
                </c:pt>
                <c:pt idx="3">
                  <c:v>275.488125</c:v>
                </c:pt>
                <c:pt idx="4">
                  <c:v>247.9393125</c:v>
                </c:pt>
                <c:pt idx="5">
                  <c:v>223.14538125</c:v>
                </c:pt>
                <c:pt idx="6">
                  <c:v>200.830843125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8520072"/>
        <c:axId val="2098525640"/>
      </c:lineChart>
      <c:catAx>
        <c:axId val="2098520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 i="1">
                    <a:solidFill>
                      <a:srgbClr val="000000"/>
                    </a:solidFill>
                  </a:defRPr>
                </a:pPr>
                <a:r>
                  <a:rPr lang="en-US" sz="1800" b="0" i="1">
                    <a:solidFill>
                      <a:srgbClr val="000000"/>
                    </a:solidFill>
                  </a:rPr>
                  <a:t>Source: BI Intelligence Estimates</a:t>
                </a:r>
              </a:p>
            </c:rich>
          </c:tx>
          <c:layout>
            <c:manualLayout>
              <c:xMode val="edge"/>
              <c:yMode val="edge"/>
              <c:x val="0.000660057679705973"/>
              <c:y val="0.982174688057041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8525640"/>
        <c:crosses val="autoZero"/>
        <c:auto val="1"/>
        <c:lblAlgn val="ctr"/>
        <c:lblOffset val="100"/>
        <c:noMultiLvlLbl val="0"/>
      </c:catAx>
      <c:valAx>
        <c:axId val="2098525640"/>
        <c:scaling>
          <c:orientation val="minMax"/>
          <c:min val="10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r>
                  <a:rPr lang="en-US" sz="2000">
                    <a:solidFill>
                      <a:srgbClr val="000000"/>
                    </a:solidFill>
                  </a:rPr>
                  <a:t>Average Selling Price</a:t>
                </a:r>
              </a:p>
            </c:rich>
          </c:tx>
          <c:overlay val="0"/>
        </c:title>
        <c:numFmt formatCode="_(&quot;$&quot;* #,##0_);_(&quot;$&quot;* \(#,##0\);_(&quot;$&quot;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852007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000"/>
            </a:pPr>
            <a:r>
              <a:rPr lang="en-US" sz="4000"/>
              <a:t>iPhone Sales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Unit Sales</c:v>
          </c:tx>
          <c:spPr>
            <a:solidFill>
              <a:schemeClr val="accent3"/>
            </a:solidFill>
          </c:spPr>
          <c:invertIfNegative val="0"/>
          <c:cat>
            <c:strRef>
              <c:f>'iPhone (2)'!$M$1:$AB$1</c:f>
              <c:strCache>
                <c:ptCount val="16"/>
                <c:pt idx="0">
                  <c:v>Q1 2010</c:v>
                </c:pt>
                <c:pt idx="1">
                  <c:v>Q2 2010</c:v>
                </c:pt>
                <c:pt idx="2">
                  <c:v>Q3 2010</c:v>
                </c:pt>
                <c:pt idx="3">
                  <c:v>Q4 2010</c:v>
                </c:pt>
                <c:pt idx="4">
                  <c:v>Q1 2011</c:v>
                </c:pt>
                <c:pt idx="5">
                  <c:v>Q2 2011</c:v>
                </c:pt>
                <c:pt idx="6">
                  <c:v>Q3 2011</c:v>
                </c:pt>
                <c:pt idx="7">
                  <c:v>Q4 2011</c:v>
                </c:pt>
                <c:pt idx="8">
                  <c:v>Q1 2012</c:v>
                </c:pt>
                <c:pt idx="9">
                  <c:v>Q2 2012</c:v>
                </c:pt>
                <c:pt idx="10">
                  <c:v>Q3 2012</c:v>
                </c:pt>
                <c:pt idx="11">
                  <c:v>Q4 2012</c:v>
                </c:pt>
                <c:pt idx="12">
                  <c:v>Q1 2013</c:v>
                </c:pt>
                <c:pt idx="13">
                  <c:v>Q2 2013</c:v>
                </c:pt>
                <c:pt idx="14">
                  <c:v>Q3 2013</c:v>
                </c:pt>
                <c:pt idx="15">
                  <c:v>Q4 2013</c:v>
                </c:pt>
              </c:strCache>
            </c:strRef>
          </c:cat>
          <c:val>
            <c:numRef>
              <c:f>'iPhone (2)'!$M$6:$AB$6</c:f>
              <c:numCache>
                <c:formatCode>#,##0</c:formatCode>
                <c:ptCount val="16"/>
                <c:pt idx="0">
                  <c:v>8752.0</c:v>
                </c:pt>
                <c:pt idx="1">
                  <c:v>8398.0</c:v>
                </c:pt>
                <c:pt idx="2">
                  <c:v>14102.0</c:v>
                </c:pt>
                <c:pt idx="3">
                  <c:v>16235.0</c:v>
                </c:pt>
                <c:pt idx="4">
                  <c:v>18647.0</c:v>
                </c:pt>
                <c:pt idx="5">
                  <c:v>20338.0</c:v>
                </c:pt>
                <c:pt idx="6">
                  <c:v>17073.0</c:v>
                </c:pt>
                <c:pt idx="7">
                  <c:v>37044.0</c:v>
                </c:pt>
                <c:pt idx="8">
                  <c:v>35064.0</c:v>
                </c:pt>
                <c:pt idx="9">
                  <c:v>26000.0</c:v>
                </c:pt>
                <c:pt idx="10">
                  <c:v>26910.0</c:v>
                </c:pt>
                <c:pt idx="11">
                  <c:v>47789.0</c:v>
                </c:pt>
                <c:pt idx="12">
                  <c:v>37430.0</c:v>
                </c:pt>
                <c:pt idx="13">
                  <c:v>31200.0</c:v>
                </c:pt>
                <c:pt idx="14" formatCode="_(* #,##0_);_(* \(#,##0\);_(* &quot;-&quot;??_);_(@_)">
                  <c:v>33800.0</c:v>
                </c:pt>
                <c:pt idx="15">
                  <c:v>51000.0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8584984"/>
        <c:axId val="2098590520"/>
      </c:barChart>
      <c:lineChart>
        <c:grouping val="standard"/>
        <c:varyColors val="0"/>
        <c:ser>
          <c:idx val="0"/>
          <c:order val="0"/>
          <c:tx>
            <c:v>YOY Sales Growth</c:v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'iPhone (2)'!$M$1:$AA$1</c:f>
              <c:strCache>
                <c:ptCount val="15"/>
                <c:pt idx="0">
                  <c:v>Q1 2010</c:v>
                </c:pt>
                <c:pt idx="1">
                  <c:v>Q2 2010</c:v>
                </c:pt>
                <c:pt idx="2">
                  <c:v>Q3 2010</c:v>
                </c:pt>
                <c:pt idx="3">
                  <c:v>Q4 2010</c:v>
                </c:pt>
                <c:pt idx="4">
                  <c:v>Q1 2011</c:v>
                </c:pt>
                <c:pt idx="5">
                  <c:v>Q2 2011</c:v>
                </c:pt>
                <c:pt idx="6">
                  <c:v>Q3 2011</c:v>
                </c:pt>
                <c:pt idx="7">
                  <c:v>Q4 2011</c:v>
                </c:pt>
                <c:pt idx="8">
                  <c:v>Q1 2012</c:v>
                </c:pt>
                <c:pt idx="9">
                  <c:v>Q2 2012</c:v>
                </c:pt>
                <c:pt idx="10">
                  <c:v>Q3 2012</c:v>
                </c:pt>
                <c:pt idx="11">
                  <c:v>Q4 2012</c:v>
                </c:pt>
                <c:pt idx="12">
                  <c:v>Q1 2013</c:v>
                </c:pt>
                <c:pt idx="13">
                  <c:v>Q2 2013</c:v>
                </c:pt>
                <c:pt idx="14">
                  <c:v>Q3 2013</c:v>
                </c:pt>
              </c:strCache>
            </c:strRef>
          </c:cat>
          <c:val>
            <c:numRef>
              <c:f>'iPhone (2)'!$M$29:$AB$29</c:f>
              <c:numCache>
                <c:formatCode>0%</c:formatCode>
                <c:ptCount val="16"/>
                <c:pt idx="0">
                  <c:v>1.307408383865015</c:v>
                </c:pt>
                <c:pt idx="1">
                  <c:v>0.612519201228879</c:v>
                </c:pt>
                <c:pt idx="2">
                  <c:v>0.914212026605131</c:v>
                </c:pt>
                <c:pt idx="3">
                  <c:v>0.85818930983175</c:v>
                </c:pt>
                <c:pt idx="4">
                  <c:v>1.130598720292505</c:v>
                </c:pt>
                <c:pt idx="5">
                  <c:v>1.421767087401762</c:v>
                </c:pt>
                <c:pt idx="6">
                  <c:v>0.21067933626436</c:v>
                </c:pt>
                <c:pt idx="7">
                  <c:v>1.281736987988913</c:v>
                </c:pt>
                <c:pt idx="8">
                  <c:v>0.880409717380812</c:v>
                </c:pt>
                <c:pt idx="9">
                  <c:v>0.278395122430918</c:v>
                </c:pt>
                <c:pt idx="10">
                  <c:v>0.576172904586189</c:v>
                </c:pt>
                <c:pt idx="11">
                  <c:v>0.290060468631897</c:v>
                </c:pt>
                <c:pt idx="12">
                  <c:v>0.0674766141911933</c:v>
                </c:pt>
                <c:pt idx="13">
                  <c:v>0.2</c:v>
                </c:pt>
                <c:pt idx="14">
                  <c:v>0.256038647342995</c:v>
                </c:pt>
                <c:pt idx="15">
                  <c:v>0.0671911946263783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8601688"/>
        <c:axId val="2098596152"/>
      </c:lineChart>
      <c:catAx>
        <c:axId val="2098584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 i="1"/>
                </a:pPr>
                <a:r>
                  <a:rPr lang="en-US" sz="1800" b="0" i="1"/>
                  <a:t>Source: Company Filings</a:t>
                </a:r>
              </a:p>
            </c:rich>
          </c:tx>
          <c:layout>
            <c:manualLayout>
              <c:xMode val="edge"/>
              <c:yMode val="edge"/>
              <c:x val="3.16923875165649E-5"/>
              <c:y val="0.981275740176183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8590520"/>
        <c:crosses val="autoZero"/>
        <c:auto val="1"/>
        <c:lblAlgn val="ctr"/>
        <c:lblOffset val="100"/>
        <c:noMultiLvlLbl val="0"/>
      </c:catAx>
      <c:valAx>
        <c:axId val="20985905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/>
                  <a:t>Unit Sales (Thousands)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8584984"/>
        <c:crosses val="autoZero"/>
        <c:crossBetween val="between"/>
      </c:valAx>
      <c:valAx>
        <c:axId val="209859615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/>
                  <a:t>YOY Sales Growth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8601688"/>
        <c:crosses val="max"/>
        <c:crossBetween val="between"/>
      </c:valAx>
      <c:catAx>
        <c:axId val="2098601688"/>
        <c:scaling>
          <c:orientation val="minMax"/>
        </c:scaling>
        <c:delete val="1"/>
        <c:axPos val="b"/>
        <c:majorTickMark val="out"/>
        <c:minorTickMark val="none"/>
        <c:tickLblPos val="nextTo"/>
        <c:crossAx val="209859615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0.288202298399254"/>
          <c:y val="0.92141825799091"/>
          <c:w val="0.421814459301225"/>
          <c:h val="0.0382016945031515"/>
        </c:manualLayout>
      </c:layout>
      <c:overlay val="0"/>
      <c:txPr>
        <a:bodyPr/>
        <a:lstStyle/>
        <a:p>
          <a:pPr>
            <a:defRPr sz="20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chemeClr val="bg1">
          <a:lumMod val="75000"/>
        </a:schemeClr>
      </a:solidFill>
    </a:ln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>
                <a:solidFill>
                  <a:srgbClr val="000000"/>
                </a:solidFill>
              </a:defRPr>
            </a:pPr>
            <a:r>
              <a:rPr lang="en-US" sz="4400">
                <a:solidFill>
                  <a:srgbClr val="000000"/>
                </a:solidFill>
              </a:rPr>
              <a:t>iPad Sales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3630593429963"/>
          <c:y val="0.10766201199562"/>
          <c:w val="0.794835751169606"/>
          <c:h val="0.718551403183173"/>
        </c:manualLayout>
      </c:layout>
      <c:barChart>
        <c:barDir val="col"/>
        <c:grouping val="clustered"/>
        <c:varyColors val="0"/>
        <c:ser>
          <c:idx val="1"/>
          <c:order val="1"/>
          <c:tx>
            <c:v>Unit Sales</c:v>
          </c:tx>
          <c:spPr>
            <a:solidFill>
              <a:schemeClr val="accent1"/>
            </a:solidFill>
          </c:spPr>
          <c:invertIfNegative val="0"/>
          <c:cat>
            <c:strRef>
              <c:f>iPad!$Q$11:$AE$11</c:f>
              <c:strCache>
                <c:ptCount val="15"/>
                <c:pt idx="0">
                  <c:v>Q2 2010</c:v>
                </c:pt>
                <c:pt idx="1">
                  <c:v>Q3 2010</c:v>
                </c:pt>
                <c:pt idx="2">
                  <c:v>Q4 2010</c:v>
                </c:pt>
                <c:pt idx="3">
                  <c:v>Q1 2011</c:v>
                </c:pt>
                <c:pt idx="4">
                  <c:v>Q2 2011</c:v>
                </c:pt>
                <c:pt idx="5">
                  <c:v>Q3 2011</c:v>
                </c:pt>
                <c:pt idx="6">
                  <c:v>Q4 2011</c:v>
                </c:pt>
                <c:pt idx="7">
                  <c:v>Q1 2012</c:v>
                </c:pt>
                <c:pt idx="8">
                  <c:v>Q2 2012</c:v>
                </c:pt>
                <c:pt idx="9">
                  <c:v>Q3 2012</c:v>
                </c:pt>
                <c:pt idx="10">
                  <c:v>Q4 2012</c:v>
                </c:pt>
                <c:pt idx="11">
                  <c:v>Q1 2013</c:v>
                </c:pt>
                <c:pt idx="12">
                  <c:v>Q2 2013</c:v>
                </c:pt>
                <c:pt idx="13">
                  <c:v>Q3 2013</c:v>
                </c:pt>
                <c:pt idx="14">
                  <c:v>Q4 2013</c:v>
                </c:pt>
              </c:strCache>
            </c:strRef>
          </c:cat>
          <c:val>
            <c:numRef>
              <c:f>iPad!$Q$32:$AE$32</c:f>
              <c:numCache>
                <c:formatCode>#,##0</c:formatCode>
                <c:ptCount val="15"/>
                <c:pt idx="0">
                  <c:v>3270.0</c:v>
                </c:pt>
                <c:pt idx="1">
                  <c:v>4188.0</c:v>
                </c:pt>
                <c:pt idx="2">
                  <c:v>7331.0</c:v>
                </c:pt>
                <c:pt idx="3">
                  <c:v>4694.0</c:v>
                </c:pt>
                <c:pt idx="4">
                  <c:v>9246.0</c:v>
                </c:pt>
                <c:pt idx="5">
                  <c:v>11123.0</c:v>
                </c:pt>
                <c:pt idx="6">
                  <c:v>15434.0</c:v>
                </c:pt>
                <c:pt idx="7">
                  <c:v>11798.0</c:v>
                </c:pt>
                <c:pt idx="8">
                  <c:v>17042.0</c:v>
                </c:pt>
                <c:pt idx="9">
                  <c:v>14036.0</c:v>
                </c:pt>
                <c:pt idx="10">
                  <c:v>22900.0</c:v>
                </c:pt>
                <c:pt idx="11">
                  <c:v>19477.0</c:v>
                </c:pt>
                <c:pt idx="12">
                  <c:v>14600.0</c:v>
                </c:pt>
                <c:pt idx="13">
                  <c:v>14100.0</c:v>
                </c:pt>
                <c:pt idx="14">
                  <c:v>26000.0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8652536"/>
        <c:axId val="2098658104"/>
      </c:barChart>
      <c:lineChart>
        <c:grouping val="standard"/>
        <c:varyColors val="0"/>
        <c:ser>
          <c:idx val="0"/>
          <c:order val="0"/>
          <c:tx>
            <c:v>YOY Sales Growth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iPad!$Q$11:$AE$11</c:f>
              <c:strCache>
                <c:ptCount val="15"/>
                <c:pt idx="0">
                  <c:v>Q2 2010</c:v>
                </c:pt>
                <c:pt idx="1">
                  <c:v>Q3 2010</c:v>
                </c:pt>
                <c:pt idx="2">
                  <c:v>Q4 2010</c:v>
                </c:pt>
                <c:pt idx="3">
                  <c:v>Q1 2011</c:v>
                </c:pt>
                <c:pt idx="4">
                  <c:v>Q2 2011</c:v>
                </c:pt>
                <c:pt idx="5">
                  <c:v>Q3 2011</c:v>
                </c:pt>
                <c:pt idx="6">
                  <c:v>Q4 2011</c:v>
                </c:pt>
                <c:pt idx="7">
                  <c:v>Q1 2012</c:v>
                </c:pt>
                <c:pt idx="8">
                  <c:v>Q2 2012</c:v>
                </c:pt>
                <c:pt idx="9">
                  <c:v>Q3 2012</c:v>
                </c:pt>
                <c:pt idx="10">
                  <c:v>Q4 2012</c:v>
                </c:pt>
                <c:pt idx="11">
                  <c:v>Q1 2013</c:v>
                </c:pt>
                <c:pt idx="12">
                  <c:v>Q2 2013</c:v>
                </c:pt>
                <c:pt idx="13">
                  <c:v>Q3 2013</c:v>
                </c:pt>
                <c:pt idx="14">
                  <c:v>Q4 2013</c:v>
                </c:pt>
              </c:strCache>
            </c:strRef>
          </c:cat>
          <c:val>
            <c:numRef>
              <c:f>iPad!$Q$40:$AE$40</c:f>
              <c:numCache>
                <c:formatCode>General</c:formatCode>
                <c:ptCount val="15"/>
                <c:pt idx="4" formatCode="0%">
                  <c:v>1.827522935779816</c:v>
                </c:pt>
                <c:pt idx="5" formatCode="0%">
                  <c:v>1.655921680993314</c:v>
                </c:pt>
                <c:pt idx="6" formatCode="0%">
                  <c:v>1.105306233801664</c:v>
                </c:pt>
                <c:pt idx="7" formatCode="0%">
                  <c:v>1.513421389007243</c:v>
                </c:pt>
                <c:pt idx="8" formatCode="0%">
                  <c:v>0.843175427211767</c:v>
                </c:pt>
                <c:pt idx="9" formatCode="0%">
                  <c:v>0.261889777937607</c:v>
                </c:pt>
                <c:pt idx="10" formatCode="0%">
                  <c:v>0.483737203576519</c:v>
                </c:pt>
                <c:pt idx="11" formatCode="0%">
                  <c:v>0.650873029327005</c:v>
                </c:pt>
                <c:pt idx="12" formatCode="0%">
                  <c:v>-0.14</c:v>
                </c:pt>
                <c:pt idx="13" formatCode="0.0%">
                  <c:v>0.00455970361926483</c:v>
                </c:pt>
                <c:pt idx="14" formatCode="0.0%">
                  <c:v>0.135371179039301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8669400"/>
        <c:axId val="2098663784"/>
      </c:lineChart>
      <c:catAx>
        <c:axId val="2098652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 i="1">
                    <a:solidFill>
                      <a:srgbClr val="000000"/>
                    </a:solidFill>
                  </a:defRPr>
                </a:pPr>
                <a:r>
                  <a:rPr lang="en-US" sz="1800" b="0" i="1">
                    <a:solidFill>
                      <a:srgbClr val="000000"/>
                    </a:solidFill>
                  </a:rPr>
                  <a:t>Source: Company Filings</a:t>
                </a:r>
              </a:p>
            </c:rich>
          </c:tx>
          <c:layout>
            <c:manualLayout>
              <c:xMode val="edge"/>
              <c:yMode val="edge"/>
              <c:x val="0.000232860908686669"/>
              <c:y val="0.979828724977421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2200">
                <a:solidFill>
                  <a:srgbClr val="000000"/>
                </a:solidFill>
              </a:defRPr>
            </a:pPr>
            <a:endParaRPr lang="en-US"/>
          </a:p>
        </c:txPr>
        <c:crossAx val="2098658104"/>
        <c:crossesAt val="-0.5"/>
        <c:auto val="1"/>
        <c:lblAlgn val="ctr"/>
        <c:lblOffset val="100"/>
        <c:noMultiLvlLbl val="0"/>
      </c:catAx>
      <c:valAx>
        <c:axId val="20986581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r>
                  <a:rPr lang="en-US" sz="2000">
                    <a:solidFill>
                      <a:srgbClr val="000000"/>
                    </a:solidFill>
                  </a:rPr>
                  <a:t>Unit Sale (Thousands)</a:t>
                </a:r>
              </a:p>
            </c:rich>
          </c:tx>
          <c:layout>
            <c:manualLayout>
              <c:xMode val="edge"/>
              <c:yMode val="edge"/>
              <c:x val="0.00438803180318683"/>
              <c:y val="0.40887807375354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2200">
                <a:solidFill>
                  <a:srgbClr val="000000"/>
                </a:solidFill>
              </a:defRPr>
            </a:pPr>
            <a:endParaRPr lang="en-US"/>
          </a:p>
        </c:txPr>
        <c:crossAx val="2098652536"/>
        <c:crosses val="autoZero"/>
        <c:crossBetween val="between"/>
      </c:valAx>
      <c:valAx>
        <c:axId val="209866378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r>
                  <a:rPr lang="en-US" sz="2000">
                    <a:solidFill>
                      <a:srgbClr val="000000"/>
                    </a:solidFill>
                  </a:rPr>
                  <a:t>YOY Sales Growth</a:t>
                </a:r>
              </a:p>
            </c:rich>
          </c:tx>
          <c:layout>
            <c:manualLayout>
              <c:xMode val="edge"/>
              <c:yMode val="edge"/>
              <c:x val="0.957362866657069"/>
              <c:y val="0.36530959186441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8669400"/>
        <c:crosses val="max"/>
        <c:crossBetween val="between"/>
      </c:valAx>
      <c:catAx>
        <c:axId val="2098669400"/>
        <c:scaling>
          <c:orientation val="minMax"/>
        </c:scaling>
        <c:delete val="1"/>
        <c:axPos val="b"/>
        <c:majorTickMark val="out"/>
        <c:minorTickMark val="none"/>
        <c:tickLblPos val="nextTo"/>
        <c:crossAx val="209866378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0.339138781392041"/>
          <c:y val="0.923739959540422"/>
          <c:w val="0.375356106761582"/>
          <c:h val="0.0422321661919365"/>
        </c:manualLayout>
      </c:layout>
      <c:overlay val="0"/>
      <c:txPr>
        <a:bodyPr/>
        <a:lstStyle/>
        <a:p>
          <a:pPr>
            <a:defRPr sz="200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 anchor="ctr" anchorCtr="0"/>
          <a:lstStyle/>
          <a:p>
            <a:pPr>
              <a:defRPr sz="4400">
                <a:solidFill>
                  <a:srgbClr val="000000"/>
                </a:solidFill>
              </a:defRPr>
            </a:pPr>
            <a:r>
              <a:rPr lang="en-US" sz="4400">
                <a:solidFill>
                  <a:srgbClr val="000000"/>
                </a:solidFill>
              </a:rPr>
              <a:t>Global Tablet Shipments</a:t>
            </a:r>
          </a:p>
          <a:p>
            <a:pPr>
              <a:defRPr sz="4400">
                <a:solidFill>
                  <a:srgbClr val="000000"/>
                </a:solidFill>
              </a:defRPr>
            </a:pPr>
            <a:r>
              <a:rPr lang="en-US" sz="2400" b="0" i="1">
                <a:solidFill>
                  <a:srgbClr val="000000"/>
                </a:solidFill>
              </a:rPr>
              <a:t>By Platform </a:t>
            </a:r>
          </a:p>
        </c:rich>
      </c:tx>
      <c:layout>
        <c:manualLayout>
          <c:xMode val="edge"/>
          <c:yMode val="edge"/>
          <c:x val="0.280368410910992"/>
          <c:y val="0.014285311389133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970654972166"/>
          <c:y val="0.119779781900965"/>
          <c:w val="0.862990370620492"/>
          <c:h val="0.769932927780961"/>
        </c:manualLayout>
      </c:layout>
      <c:areaChart>
        <c:grouping val="stacked"/>
        <c:varyColors val="0"/>
        <c:ser>
          <c:idx val="0"/>
          <c:order val="0"/>
          <c:tx>
            <c:strRef>
              <c:f>'Tablet shipments (2)'!$B$5</c:f>
              <c:strCache>
                <c:ptCount val="1"/>
                <c:pt idx="0">
                  <c:v>Android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'Tablet shipments (2)'!$H$3:$V$3</c:f>
              <c:strCache>
                <c:ptCount val="15"/>
                <c:pt idx="0">
                  <c:v>Q2 2010</c:v>
                </c:pt>
                <c:pt idx="1">
                  <c:v>Q3 2010</c:v>
                </c:pt>
                <c:pt idx="2">
                  <c:v>Q4 2010</c:v>
                </c:pt>
                <c:pt idx="3">
                  <c:v>Q1 2011</c:v>
                </c:pt>
                <c:pt idx="4">
                  <c:v>Q2 2011</c:v>
                </c:pt>
                <c:pt idx="5">
                  <c:v>Q3 2011</c:v>
                </c:pt>
                <c:pt idx="6">
                  <c:v>Q4 2011</c:v>
                </c:pt>
                <c:pt idx="7">
                  <c:v>Q1 2012</c:v>
                </c:pt>
                <c:pt idx="8">
                  <c:v>Q2 2012</c:v>
                </c:pt>
                <c:pt idx="9">
                  <c:v>Q3 2012</c:v>
                </c:pt>
                <c:pt idx="10">
                  <c:v>Q4 2012</c:v>
                </c:pt>
                <c:pt idx="11">
                  <c:v>Q1 2013</c:v>
                </c:pt>
                <c:pt idx="12">
                  <c:v>Q2 2013</c:v>
                </c:pt>
                <c:pt idx="13">
                  <c:v>Q3 2013</c:v>
                </c:pt>
                <c:pt idx="14">
                  <c:v>Q4 2013</c:v>
                </c:pt>
              </c:strCache>
            </c:strRef>
          </c:cat>
          <c:val>
            <c:numRef>
              <c:f>'Tablet shipments (2)'!$H$5:$V$5</c:f>
              <c:numCache>
                <c:formatCode>_(* #,##0_);_(* \(#,##0\);_(* "-"??_);_(@_)</c:formatCode>
                <c:ptCount val="15"/>
                <c:pt idx="0">
                  <c:v>100000.0</c:v>
                </c:pt>
                <c:pt idx="1">
                  <c:v>100000.0</c:v>
                </c:pt>
                <c:pt idx="2">
                  <c:v>2.134E6</c:v>
                </c:pt>
                <c:pt idx="3">
                  <c:v>2.448E6</c:v>
                </c:pt>
                <c:pt idx="4">
                  <c:v>3.6448E6</c:v>
                </c:pt>
                <c:pt idx="5">
                  <c:v>4.5E6</c:v>
                </c:pt>
                <c:pt idx="6">
                  <c:v>1.05E7</c:v>
                </c:pt>
                <c:pt idx="7">
                  <c:v>2.656E6</c:v>
                </c:pt>
                <c:pt idx="8">
                  <c:v>5.923E6</c:v>
                </c:pt>
                <c:pt idx="9">
                  <c:v>1.02E7</c:v>
                </c:pt>
                <c:pt idx="10">
                  <c:v>3.05E7</c:v>
                </c:pt>
                <c:pt idx="11" formatCode="#,##0">
                  <c:v>2.546675E7</c:v>
                </c:pt>
                <c:pt idx="12">
                  <c:v>3.2819E7</c:v>
                </c:pt>
                <c:pt idx="13">
                  <c:v>3.1609797E7</c:v>
                </c:pt>
                <c:pt idx="14">
                  <c:v>4.15E7</c:v>
                </c:pt>
              </c:numCache>
            </c:numRef>
          </c:val>
        </c:ser>
        <c:ser>
          <c:idx val="1"/>
          <c:order val="1"/>
          <c:tx>
            <c:strRef>
              <c:f>'Tablet shipments (2)'!$B$6</c:f>
              <c:strCache>
                <c:ptCount val="1"/>
                <c:pt idx="0">
                  <c:v>Apple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2"/>
              </a:solidFill>
            </a:ln>
          </c:spPr>
          <c:dLbls>
            <c:dLbl>
              <c:idx val="0"/>
              <c:layout>
                <c:manualLayout>
                  <c:x val="0.220524505176652"/>
                  <c:y val="-0.220072682221995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 b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'Tablet shipments (2)'!$H$3:$V$3</c:f>
              <c:strCache>
                <c:ptCount val="15"/>
                <c:pt idx="0">
                  <c:v>Q2 2010</c:v>
                </c:pt>
                <c:pt idx="1">
                  <c:v>Q3 2010</c:v>
                </c:pt>
                <c:pt idx="2">
                  <c:v>Q4 2010</c:v>
                </c:pt>
                <c:pt idx="3">
                  <c:v>Q1 2011</c:v>
                </c:pt>
                <c:pt idx="4">
                  <c:v>Q2 2011</c:v>
                </c:pt>
                <c:pt idx="5">
                  <c:v>Q3 2011</c:v>
                </c:pt>
                <c:pt idx="6">
                  <c:v>Q4 2011</c:v>
                </c:pt>
                <c:pt idx="7">
                  <c:v>Q1 2012</c:v>
                </c:pt>
                <c:pt idx="8">
                  <c:v>Q2 2012</c:v>
                </c:pt>
                <c:pt idx="9">
                  <c:v>Q3 2012</c:v>
                </c:pt>
                <c:pt idx="10">
                  <c:v>Q4 2012</c:v>
                </c:pt>
                <c:pt idx="11">
                  <c:v>Q1 2013</c:v>
                </c:pt>
                <c:pt idx="12">
                  <c:v>Q2 2013</c:v>
                </c:pt>
                <c:pt idx="13">
                  <c:v>Q3 2013</c:v>
                </c:pt>
                <c:pt idx="14">
                  <c:v>Q4 2013</c:v>
                </c:pt>
              </c:strCache>
            </c:strRef>
          </c:cat>
          <c:val>
            <c:numRef>
              <c:f>'Tablet shipments (2)'!$H$6:$V$6</c:f>
              <c:numCache>
                <c:formatCode>_(* #,##0_);_(* \(#,##0\);_(* "-"??_);_(@_)</c:formatCode>
                <c:ptCount val="15"/>
                <c:pt idx="0">
                  <c:v>3.27E6</c:v>
                </c:pt>
                <c:pt idx="1">
                  <c:v>4.19E6</c:v>
                </c:pt>
                <c:pt idx="2">
                  <c:v>7.33E6</c:v>
                </c:pt>
                <c:pt idx="3">
                  <c:v>4.69E6</c:v>
                </c:pt>
                <c:pt idx="4">
                  <c:v>9.25E6</c:v>
                </c:pt>
                <c:pt idx="5">
                  <c:v>1.112E7</c:v>
                </c:pt>
                <c:pt idx="6">
                  <c:v>1.5434E7</c:v>
                </c:pt>
                <c:pt idx="7">
                  <c:v>1.1798E7</c:v>
                </c:pt>
                <c:pt idx="8">
                  <c:v>1.7042E7</c:v>
                </c:pt>
                <c:pt idx="9">
                  <c:v>1.403E7</c:v>
                </c:pt>
                <c:pt idx="10">
                  <c:v>2.29E7</c:v>
                </c:pt>
                <c:pt idx="11" formatCode="#,##0">
                  <c:v>1.9477E7</c:v>
                </c:pt>
                <c:pt idx="12">
                  <c:v>1.4617E7</c:v>
                </c:pt>
                <c:pt idx="13">
                  <c:v>1.41E7</c:v>
                </c:pt>
                <c:pt idx="14">
                  <c:v>2.6E7</c:v>
                </c:pt>
              </c:numCache>
            </c:numRef>
          </c:val>
        </c:ser>
        <c:ser>
          <c:idx val="4"/>
          <c:order val="2"/>
          <c:spPr>
            <a:solidFill>
              <a:schemeClr val="tx2">
                <a:lumMod val="40000"/>
                <a:lumOff val="60000"/>
              </a:schemeClr>
            </a:solidFill>
          </c:spPr>
          <c:dLbls>
            <c:dLbl>
              <c:idx val="0"/>
              <c:layout>
                <c:manualLayout>
                  <c:x val="0.0823489168544217"/>
                  <c:y val="-0.326883715832543"/>
                </c:manualLayout>
              </c:layout>
              <c:tx>
                <c:rich>
                  <a:bodyPr/>
                  <a:lstStyle/>
                  <a:p>
                    <a:r>
                      <a:rPr lang="en-US" sz="2000" b="0">
                        <a:solidFill>
                          <a:srgbClr val="000000"/>
                        </a:solidFill>
                      </a:rPr>
                      <a:t>Amazon</a:t>
                    </a:r>
                    <a:r>
                      <a:rPr lang="en-US" sz="2000" b="0" baseline="0">
                        <a:solidFill>
                          <a:srgbClr val="000000"/>
                        </a:solidFill>
                      </a:rPr>
                      <a:t> (</a:t>
                    </a:r>
                    <a:r>
                      <a:rPr lang="en-US" sz="2000" b="0">
                        <a:solidFill>
                          <a:srgbClr val="000000"/>
                        </a:solidFill>
                      </a:rPr>
                      <a:t>Kindle Fire)</a:t>
                    </a:r>
                    <a:endParaRPr lang="en-US" sz="1800" b="0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 b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'Tablet shipments (2)'!$H$3:$V$3</c:f>
              <c:strCache>
                <c:ptCount val="15"/>
                <c:pt idx="0">
                  <c:v>Q2 2010</c:v>
                </c:pt>
                <c:pt idx="1">
                  <c:v>Q3 2010</c:v>
                </c:pt>
                <c:pt idx="2">
                  <c:v>Q4 2010</c:v>
                </c:pt>
                <c:pt idx="3">
                  <c:v>Q1 2011</c:v>
                </c:pt>
                <c:pt idx="4">
                  <c:v>Q2 2011</c:v>
                </c:pt>
                <c:pt idx="5">
                  <c:v>Q3 2011</c:v>
                </c:pt>
                <c:pt idx="6">
                  <c:v>Q4 2011</c:v>
                </c:pt>
                <c:pt idx="7">
                  <c:v>Q1 2012</c:v>
                </c:pt>
                <c:pt idx="8">
                  <c:v>Q2 2012</c:v>
                </c:pt>
                <c:pt idx="9">
                  <c:v>Q3 2012</c:v>
                </c:pt>
                <c:pt idx="10">
                  <c:v>Q4 2012</c:v>
                </c:pt>
                <c:pt idx="11">
                  <c:v>Q1 2013</c:v>
                </c:pt>
                <c:pt idx="12">
                  <c:v>Q2 2013</c:v>
                </c:pt>
                <c:pt idx="13">
                  <c:v>Q3 2013</c:v>
                </c:pt>
                <c:pt idx="14">
                  <c:v>Q4 2013</c:v>
                </c:pt>
              </c:strCache>
            </c:strRef>
          </c:cat>
          <c:val>
            <c:numRef>
              <c:f>'Tablet shipments (2)'!$H$7:$V$7</c:f>
              <c:numCache>
                <c:formatCode>_(* #,##0_);_(* \(#,##0\);_(* "-"??_);_(@_)</c:formatCode>
                <c:ptCount val="15"/>
                <c:pt idx="6">
                  <c:v>4.75E6</c:v>
                </c:pt>
                <c:pt idx="7">
                  <c:v>1.185E6</c:v>
                </c:pt>
                <c:pt idx="8">
                  <c:v>1.027E6</c:v>
                </c:pt>
                <c:pt idx="9">
                  <c:v>2.1E6</c:v>
                </c:pt>
                <c:pt idx="10">
                  <c:v>6.0E6</c:v>
                </c:pt>
                <c:pt idx="11" formatCode="#,##0">
                  <c:v>1.8E6</c:v>
                </c:pt>
                <c:pt idx="12">
                  <c:v>1.55E6</c:v>
                </c:pt>
                <c:pt idx="13">
                  <c:v>2.5E6</c:v>
                </c:pt>
                <c:pt idx="14">
                  <c:v>5.8E6</c:v>
                </c:pt>
              </c:numCache>
            </c:numRef>
          </c:val>
        </c:ser>
        <c:ser>
          <c:idx val="2"/>
          <c:order val="3"/>
          <c:spPr>
            <a:solidFill>
              <a:schemeClr val="accent3"/>
            </a:solidFill>
          </c:spPr>
          <c:dLbls>
            <c:dLbl>
              <c:idx val="0"/>
              <c:layout>
                <c:manualLayout>
                  <c:x val="0.288894301391714"/>
                  <c:y val="-0.307667468500895"/>
                </c:manualLayout>
              </c:layout>
              <c:tx>
                <c:rich>
                  <a:bodyPr/>
                  <a:lstStyle/>
                  <a:p>
                    <a:r>
                      <a:rPr lang="en-US" b="0">
                        <a:solidFill>
                          <a:srgbClr val="000000"/>
                        </a:solidFill>
                      </a:rPr>
                      <a:t>Windows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 b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'Tablet shipments (2)'!$H$3:$V$3</c:f>
              <c:strCache>
                <c:ptCount val="15"/>
                <c:pt idx="0">
                  <c:v>Q2 2010</c:v>
                </c:pt>
                <c:pt idx="1">
                  <c:v>Q3 2010</c:v>
                </c:pt>
                <c:pt idx="2">
                  <c:v>Q4 2010</c:v>
                </c:pt>
                <c:pt idx="3">
                  <c:v>Q1 2011</c:v>
                </c:pt>
                <c:pt idx="4">
                  <c:v>Q2 2011</c:v>
                </c:pt>
                <c:pt idx="5">
                  <c:v>Q3 2011</c:v>
                </c:pt>
                <c:pt idx="6">
                  <c:v>Q4 2011</c:v>
                </c:pt>
                <c:pt idx="7">
                  <c:v>Q1 2012</c:v>
                </c:pt>
                <c:pt idx="8">
                  <c:v>Q2 2012</c:v>
                </c:pt>
                <c:pt idx="9">
                  <c:v>Q3 2012</c:v>
                </c:pt>
                <c:pt idx="10">
                  <c:v>Q4 2012</c:v>
                </c:pt>
                <c:pt idx="11">
                  <c:v>Q1 2013</c:v>
                </c:pt>
                <c:pt idx="12">
                  <c:v>Q2 2013</c:v>
                </c:pt>
                <c:pt idx="13">
                  <c:v>Q3 2013</c:v>
                </c:pt>
                <c:pt idx="14">
                  <c:v>Q4 2013</c:v>
                </c:pt>
              </c:strCache>
            </c:strRef>
          </c:cat>
          <c:val>
            <c:numRef>
              <c:f>'Tablet shipments (2)'!$H$10:$V$10</c:f>
              <c:numCache>
                <c:formatCode>_(* #,##0_);_(* \(#,##0\);_(* "-"??_);_(@_)</c:formatCode>
                <c:ptCount val="15"/>
                <c:pt idx="8">
                  <c:v>200000.0</c:v>
                </c:pt>
                <c:pt idx="9">
                  <c:v>400000.0</c:v>
                </c:pt>
                <c:pt idx="10">
                  <c:v>1.8E6</c:v>
                </c:pt>
                <c:pt idx="11" formatCode="#,##0">
                  <c:v>1.8E6</c:v>
                </c:pt>
                <c:pt idx="12">
                  <c:v>2.3E6</c:v>
                </c:pt>
                <c:pt idx="13">
                  <c:v>1.630869E6</c:v>
                </c:pt>
                <c:pt idx="14">
                  <c:v>3.3E6</c:v>
                </c:pt>
              </c:numCache>
            </c:numRef>
          </c:val>
        </c:ser>
        <c:ser>
          <c:idx val="6"/>
          <c:order val="4"/>
          <c:spPr>
            <a:solidFill>
              <a:schemeClr val="accent1">
                <a:lumMod val="75000"/>
              </a:schemeClr>
            </a:solidFill>
          </c:spPr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20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'Tablet shipments (2)'!$H$3:$V$3</c:f>
              <c:strCache>
                <c:ptCount val="15"/>
                <c:pt idx="0">
                  <c:v>Q2 2010</c:v>
                </c:pt>
                <c:pt idx="1">
                  <c:v>Q3 2010</c:v>
                </c:pt>
                <c:pt idx="2">
                  <c:v>Q4 2010</c:v>
                </c:pt>
                <c:pt idx="3">
                  <c:v>Q1 2011</c:v>
                </c:pt>
                <c:pt idx="4">
                  <c:v>Q2 2011</c:v>
                </c:pt>
                <c:pt idx="5">
                  <c:v>Q3 2011</c:v>
                </c:pt>
                <c:pt idx="6">
                  <c:v>Q4 2011</c:v>
                </c:pt>
                <c:pt idx="7">
                  <c:v>Q1 2012</c:v>
                </c:pt>
                <c:pt idx="8">
                  <c:v>Q2 2012</c:v>
                </c:pt>
                <c:pt idx="9">
                  <c:v>Q3 2012</c:v>
                </c:pt>
                <c:pt idx="10">
                  <c:v>Q4 2012</c:v>
                </c:pt>
                <c:pt idx="11">
                  <c:v>Q1 2013</c:v>
                </c:pt>
                <c:pt idx="12">
                  <c:v>Q2 2013</c:v>
                </c:pt>
                <c:pt idx="13">
                  <c:v>Q3 2013</c:v>
                </c:pt>
                <c:pt idx="14">
                  <c:v>Q4 2013</c:v>
                </c:pt>
              </c:strCache>
            </c:strRef>
          </c:cat>
          <c:val>
            <c:numRef>
              <c:f>'Tablet shipments (2)'!$H$9:$V$9</c:f>
              <c:numCache>
                <c:formatCode>_(* #,##0_);_(* \(#,##0\);_(* "-"??_);_(@_)</c:formatCode>
                <c:ptCount val="15"/>
                <c:pt idx="6">
                  <c:v>2.025E6</c:v>
                </c:pt>
                <c:pt idx="7">
                  <c:v>592500.0</c:v>
                </c:pt>
                <c:pt idx="8">
                  <c:v>350000.0</c:v>
                </c:pt>
                <c:pt idx="9">
                  <c:v>365676.7283349562</c:v>
                </c:pt>
                <c:pt idx="10">
                  <c:v>1.0E6</c:v>
                </c:pt>
                <c:pt idx="11" formatCode="#,##0">
                  <c:v>533250.0</c:v>
                </c:pt>
                <c:pt idx="12">
                  <c:v>231000.0</c:v>
                </c:pt>
                <c:pt idx="13">
                  <c:v>200000.0</c:v>
                </c:pt>
                <c:pt idx="14">
                  <c:v>175000.0</c:v>
                </c:pt>
              </c:numCache>
            </c:numRef>
          </c:val>
        </c:ser>
        <c:ser>
          <c:idx val="3"/>
          <c:order val="5"/>
          <c:spPr>
            <a:solidFill>
              <a:schemeClr val="accent6"/>
            </a:solidFill>
            <a:ln w="25400">
              <a:noFill/>
            </a:ln>
          </c:spPr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1800" b="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'Tablet shipments (2)'!$H$3:$V$3</c:f>
              <c:strCache>
                <c:ptCount val="15"/>
                <c:pt idx="0">
                  <c:v>Q2 2010</c:v>
                </c:pt>
                <c:pt idx="1">
                  <c:v>Q3 2010</c:v>
                </c:pt>
                <c:pt idx="2">
                  <c:v>Q4 2010</c:v>
                </c:pt>
                <c:pt idx="3">
                  <c:v>Q1 2011</c:v>
                </c:pt>
                <c:pt idx="4">
                  <c:v>Q2 2011</c:v>
                </c:pt>
                <c:pt idx="5">
                  <c:v>Q3 2011</c:v>
                </c:pt>
                <c:pt idx="6">
                  <c:v>Q4 2011</c:v>
                </c:pt>
                <c:pt idx="7">
                  <c:v>Q1 2012</c:v>
                </c:pt>
                <c:pt idx="8">
                  <c:v>Q2 2012</c:v>
                </c:pt>
                <c:pt idx="9">
                  <c:v>Q3 2012</c:v>
                </c:pt>
                <c:pt idx="10">
                  <c:v>Q4 2012</c:v>
                </c:pt>
                <c:pt idx="11">
                  <c:v>Q1 2013</c:v>
                </c:pt>
                <c:pt idx="12">
                  <c:v>Q2 2013</c:v>
                </c:pt>
                <c:pt idx="13">
                  <c:v>Q3 2013</c:v>
                </c:pt>
                <c:pt idx="14">
                  <c:v>Q4 2013</c:v>
                </c:pt>
              </c:strCache>
            </c:strRef>
          </c:cat>
          <c:val>
            <c:numRef>
              <c:f>'Tablet shipments (2)'!$H$8:$V$8</c:f>
              <c:numCache>
                <c:formatCode>_(* #,##0_);_(* \(#,##0\);_(* "-"??_);_(@_)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500000.0</c:v>
                </c:pt>
                <c:pt idx="5">
                  <c:v>200000.0</c:v>
                </c:pt>
                <c:pt idx="6">
                  <c:v>150000.0</c:v>
                </c:pt>
                <c:pt idx="7">
                  <c:v>500000.0</c:v>
                </c:pt>
                <c:pt idx="8">
                  <c:v>260000.0</c:v>
                </c:pt>
                <c:pt idx="9">
                  <c:v>150000.0</c:v>
                </c:pt>
                <c:pt idx="10">
                  <c:v>255000.0</c:v>
                </c:pt>
                <c:pt idx="11" formatCode="#,##0">
                  <c:v>370000.0</c:v>
                </c:pt>
                <c:pt idx="12">
                  <c:v>100000.0</c:v>
                </c:pt>
                <c:pt idx="13">
                  <c:v>40041.0</c:v>
                </c:pt>
                <c:pt idx="14">
                  <c:v>45000.0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8824168"/>
        <c:axId val="2098827320"/>
      </c:areaChart>
      <c:catAx>
        <c:axId val="20988241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2000" b="0">
                <a:solidFill>
                  <a:srgbClr val="000000"/>
                </a:solidFill>
              </a:defRPr>
            </a:pPr>
            <a:endParaRPr lang="en-US"/>
          </a:p>
        </c:txPr>
        <c:crossAx val="2098827320"/>
        <c:crosses val="autoZero"/>
        <c:auto val="1"/>
        <c:lblAlgn val="ctr"/>
        <c:lblOffset val="100"/>
        <c:noMultiLvlLbl val="0"/>
      </c:catAx>
      <c:valAx>
        <c:axId val="2098827320"/>
        <c:scaling>
          <c:orientation val="minMax"/>
          <c:max val="1.0E8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2000" b="0">
                <a:solidFill>
                  <a:srgbClr val="000000"/>
                </a:solidFill>
              </a:defRPr>
            </a:pPr>
            <a:endParaRPr lang="en-US"/>
          </a:p>
        </c:txPr>
        <c:crossAx val="2098824168"/>
        <c:crosses val="autoZero"/>
        <c:crossBetween val="midCat"/>
        <c:majorUnit val="1.0E7"/>
      </c:valAx>
      <c:spPr>
        <a:noFill/>
      </c:spPr>
    </c:plotArea>
    <c:plotVisOnly val="1"/>
    <c:dispBlanksAs val="zero"/>
    <c:showDLblsOverMax val="0"/>
  </c:chart>
  <c:spPr>
    <a:solidFill>
      <a:srgbClr val="FFFFFF"/>
    </a:solidFill>
    <a:ln>
      <a:noFill/>
    </a:ln>
  </c:spPr>
  <c:txPr>
    <a:bodyPr/>
    <a:lstStyle/>
    <a:p>
      <a:pPr>
        <a:defRPr b="1"/>
      </a:pPr>
      <a:endParaRPr lang="en-US"/>
    </a:p>
  </c:txPr>
  <c:printSettings>
    <c:headerFooter/>
    <c:pageMargins b="1.0" l="0.75" r="0.75" t="1.0" header="0.5" footer="0.5"/>
    <c:pageSetup paperSize="9" orientation="portrait" horizontalDpi="300" verticalDpi="30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>
                <a:solidFill>
                  <a:srgbClr val="000000"/>
                </a:solidFill>
              </a:defRPr>
            </a:pPr>
            <a:r>
              <a:rPr lang="en-US" sz="4000">
                <a:solidFill>
                  <a:srgbClr val="000000"/>
                </a:solidFill>
              </a:rPr>
              <a:t>Year-Over-Year</a:t>
            </a:r>
            <a:r>
              <a:rPr lang="en-US" sz="4000" baseline="0">
                <a:solidFill>
                  <a:srgbClr val="000000"/>
                </a:solidFill>
              </a:rPr>
              <a:t> Growth</a:t>
            </a:r>
          </a:p>
          <a:p>
            <a:pPr>
              <a:defRPr>
                <a:solidFill>
                  <a:srgbClr val="000000"/>
                </a:solidFill>
              </a:defRPr>
            </a:pPr>
            <a:r>
              <a:rPr lang="en-US" sz="2400" b="0" i="1" baseline="0">
                <a:solidFill>
                  <a:srgbClr val="000000"/>
                </a:solidFill>
              </a:rPr>
              <a:t>Smartphones vs. Tablets, Quarterly</a:t>
            </a:r>
            <a:endParaRPr lang="en-US" sz="2400" b="0" i="1">
              <a:solidFill>
                <a:srgbClr val="000000"/>
              </a:solidFill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0.0480854853072128"/>
                  <c:y val="-0.020154119739182"/>
                </c:manualLayout>
              </c:layout>
              <c:tx>
                <c:rich>
                  <a:bodyPr/>
                  <a:lstStyle/>
                  <a:p>
                    <a:pPr>
                      <a:defRPr sz="2000">
                        <a:solidFill>
                          <a:srgbClr val="000000"/>
                        </a:solidFill>
                      </a:defRPr>
                    </a:pPr>
                    <a:r>
                      <a:rPr lang="en-US" sz="2000">
                        <a:solidFill>
                          <a:srgbClr val="000000"/>
                        </a:solidFill>
                      </a:rPr>
                      <a:t>Smartphones</a:t>
                    </a:r>
                    <a:endParaRPr lang="en-US" sz="2000"/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txPr>
              <a:bodyPr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TabletsSmartphones!$B$3:$T$3</c:f>
              <c:strCache>
                <c:ptCount val="19"/>
                <c:pt idx="0">
                  <c:v>Q2 2009</c:v>
                </c:pt>
                <c:pt idx="1">
                  <c:v>Q3 2009</c:v>
                </c:pt>
                <c:pt idx="2">
                  <c:v>Q4 2009</c:v>
                </c:pt>
                <c:pt idx="3">
                  <c:v>Q1 2010</c:v>
                </c:pt>
                <c:pt idx="4">
                  <c:v>Q2 2010</c:v>
                </c:pt>
                <c:pt idx="5">
                  <c:v>Q3 2010</c:v>
                </c:pt>
                <c:pt idx="6">
                  <c:v>Q4 2010</c:v>
                </c:pt>
                <c:pt idx="7">
                  <c:v>Q1 2011</c:v>
                </c:pt>
                <c:pt idx="8">
                  <c:v>Q2 2011</c:v>
                </c:pt>
                <c:pt idx="9">
                  <c:v>Q3 2011</c:v>
                </c:pt>
                <c:pt idx="10">
                  <c:v>Q4 2011</c:v>
                </c:pt>
                <c:pt idx="11">
                  <c:v>Q1 2012</c:v>
                </c:pt>
                <c:pt idx="12">
                  <c:v>Q2 2012</c:v>
                </c:pt>
                <c:pt idx="13">
                  <c:v>Q3 2012</c:v>
                </c:pt>
                <c:pt idx="14">
                  <c:v>Q4 2012</c:v>
                </c:pt>
                <c:pt idx="15">
                  <c:v>Q1 2013</c:v>
                </c:pt>
                <c:pt idx="16">
                  <c:v>Q2 2013</c:v>
                </c:pt>
                <c:pt idx="17">
                  <c:v>Q3 2013</c:v>
                </c:pt>
                <c:pt idx="18">
                  <c:v>Q4 2013</c:v>
                </c:pt>
              </c:strCache>
            </c:strRef>
          </c:cat>
          <c:val>
            <c:numRef>
              <c:f>TabletsSmartphones!$B$4:$T$4</c:f>
              <c:numCache>
                <c:formatCode>0%</c:formatCode>
                <c:ptCount val="19"/>
                <c:pt idx="0">
                  <c:v>0.269270931778252</c:v>
                </c:pt>
                <c:pt idx="1">
                  <c:v>0.123373106402534</c:v>
                </c:pt>
                <c:pt idx="2">
                  <c:v>0.41141077369576</c:v>
                </c:pt>
                <c:pt idx="3">
                  <c:v>0.492998679719728</c:v>
                </c:pt>
                <c:pt idx="4">
                  <c:v>0.514986768482623</c:v>
                </c:pt>
                <c:pt idx="5">
                  <c:v>0.97558659381118</c:v>
                </c:pt>
                <c:pt idx="6">
                  <c:v>0.878884300821209</c:v>
                </c:pt>
                <c:pt idx="7">
                  <c:v>0.83054921063012</c:v>
                </c:pt>
                <c:pt idx="8">
                  <c:v>0.73612147326457</c:v>
                </c:pt>
                <c:pt idx="9">
                  <c:v>0.419717844614865</c:v>
                </c:pt>
                <c:pt idx="10">
                  <c:v>0.473468689662809</c:v>
                </c:pt>
                <c:pt idx="11">
                  <c:v>0.447173139564019</c:v>
                </c:pt>
                <c:pt idx="12">
                  <c:v>0.426448203273795</c:v>
                </c:pt>
                <c:pt idx="13">
                  <c:v>0.468750379822443</c:v>
                </c:pt>
                <c:pt idx="14">
                  <c:v>0.393316505839301</c:v>
                </c:pt>
                <c:pt idx="15">
                  <c:v>0.497315981458768</c:v>
                </c:pt>
                <c:pt idx="16">
                  <c:v>0.522584020285504</c:v>
                </c:pt>
                <c:pt idx="17">
                  <c:v>0.45</c:v>
                </c:pt>
                <c:pt idx="18">
                  <c:v>0.35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dLbls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-0.0489760974891496"/>
                  <c:y val="-0.158862071701618"/>
                </c:manualLayout>
              </c:layout>
              <c:tx>
                <c:rich>
                  <a:bodyPr/>
                  <a:lstStyle/>
                  <a:p>
                    <a:pPr>
                      <a:defRPr sz="2000">
                        <a:solidFill>
                          <a:srgbClr val="000000"/>
                        </a:solidFill>
                      </a:defRPr>
                    </a:pPr>
                    <a:r>
                      <a:rPr lang="en-US" sz="2000">
                        <a:solidFill>
                          <a:srgbClr val="000000"/>
                        </a:solidFill>
                      </a:rPr>
                      <a:t>Tablets</a:t>
                    </a:r>
                    <a:endParaRPr lang="en-US" sz="2000"/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txPr>
              <a:bodyPr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TabletsSmartphones!$B$3:$T$3</c:f>
              <c:strCache>
                <c:ptCount val="19"/>
                <c:pt idx="0">
                  <c:v>Q2 2009</c:v>
                </c:pt>
                <c:pt idx="1">
                  <c:v>Q3 2009</c:v>
                </c:pt>
                <c:pt idx="2">
                  <c:v>Q4 2009</c:v>
                </c:pt>
                <c:pt idx="3">
                  <c:v>Q1 2010</c:v>
                </c:pt>
                <c:pt idx="4">
                  <c:v>Q2 2010</c:v>
                </c:pt>
                <c:pt idx="5">
                  <c:v>Q3 2010</c:v>
                </c:pt>
                <c:pt idx="6">
                  <c:v>Q4 2010</c:v>
                </c:pt>
                <c:pt idx="7">
                  <c:v>Q1 2011</c:v>
                </c:pt>
                <c:pt idx="8">
                  <c:v>Q2 2011</c:v>
                </c:pt>
                <c:pt idx="9">
                  <c:v>Q3 2011</c:v>
                </c:pt>
                <c:pt idx="10">
                  <c:v>Q4 2011</c:v>
                </c:pt>
                <c:pt idx="11">
                  <c:v>Q1 2012</c:v>
                </c:pt>
                <c:pt idx="12">
                  <c:v>Q2 2012</c:v>
                </c:pt>
                <c:pt idx="13">
                  <c:v>Q3 2012</c:v>
                </c:pt>
                <c:pt idx="14">
                  <c:v>Q4 2012</c:v>
                </c:pt>
                <c:pt idx="15">
                  <c:v>Q1 2013</c:v>
                </c:pt>
                <c:pt idx="16">
                  <c:v>Q2 2013</c:v>
                </c:pt>
                <c:pt idx="17">
                  <c:v>Q3 2013</c:v>
                </c:pt>
                <c:pt idx="18">
                  <c:v>Q4 2013</c:v>
                </c:pt>
              </c:strCache>
            </c:strRef>
          </c:cat>
          <c:val>
            <c:numRef>
              <c:f>TabletsSmartphones!$B$5:$T$5</c:f>
              <c:numCache>
                <c:formatCode>General</c:formatCode>
                <c:ptCount val="19"/>
                <c:pt idx="8" formatCode="0%">
                  <c:v>2.974718100890207</c:v>
                </c:pt>
                <c:pt idx="9" formatCode="0%">
                  <c:v>2.687645687645688</c:v>
                </c:pt>
                <c:pt idx="10" formatCode="0%">
                  <c:v>1.991230112868892</c:v>
                </c:pt>
                <c:pt idx="11" formatCode="0%">
                  <c:v>1.868520820170788</c:v>
                </c:pt>
                <c:pt idx="12" formatCode="0%">
                  <c:v>1.208245135103862</c:v>
                </c:pt>
                <c:pt idx="13" formatCode="0%">
                  <c:v>0.722229961757372</c:v>
                </c:pt>
                <c:pt idx="14" formatCode="0%">
                  <c:v>0.85453386331838</c:v>
                </c:pt>
                <c:pt idx="15" formatCode="0%">
                  <c:v>1.414934902666437</c:v>
                </c:pt>
                <c:pt idx="16" formatCode="0%">
                  <c:v>0.745055586685191</c:v>
                </c:pt>
                <c:pt idx="17" formatCode="0%">
                  <c:v>0.84</c:v>
                </c:pt>
                <c:pt idx="18" formatCode="0%">
                  <c:v>0.23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8928552"/>
        <c:axId val="2098934232"/>
      </c:lineChart>
      <c:catAx>
        <c:axId val="2098928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 i="1">
                    <a:solidFill>
                      <a:srgbClr val="000000"/>
                    </a:solidFill>
                  </a:defRPr>
                </a:pPr>
                <a:r>
                  <a:rPr lang="en-US" sz="1800" b="0" i="1">
                    <a:solidFill>
                      <a:srgbClr val="000000"/>
                    </a:solidFill>
                  </a:rPr>
                  <a:t>Source: BI Intelligence Estimates</a:t>
                </a:r>
              </a:p>
            </c:rich>
          </c:tx>
          <c:layout>
            <c:manualLayout>
              <c:xMode val="edge"/>
              <c:yMode val="edge"/>
              <c:x val="0.000671780453088987"/>
              <c:y val="0.98221695317131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8934232"/>
        <c:crosses val="autoZero"/>
        <c:auto val="1"/>
        <c:lblAlgn val="ctr"/>
        <c:lblOffset val="100"/>
        <c:noMultiLvlLbl val="0"/>
      </c:catAx>
      <c:valAx>
        <c:axId val="20989342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892855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200">
                <a:solidFill>
                  <a:srgbClr val="000000"/>
                </a:solidFill>
              </a:defRPr>
            </a:pPr>
            <a:r>
              <a:rPr lang="en-US" sz="4200">
                <a:solidFill>
                  <a:srgbClr val="000000"/>
                </a:solidFill>
              </a:rPr>
              <a:t>Global Smartphone Market</a:t>
            </a:r>
            <a:r>
              <a:rPr lang="en-US" sz="4200" baseline="0">
                <a:solidFill>
                  <a:srgbClr val="000000"/>
                </a:solidFill>
              </a:rPr>
              <a:t> Share By Platform</a:t>
            </a:r>
            <a:endParaRPr lang="en-US" sz="4200">
              <a:solidFill>
                <a:srgbClr val="000000"/>
              </a:solidFill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77070334044209"/>
          <c:y val="0.109090909090909"/>
          <c:w val="0.864588786231793"/>
          <c:h val="0.772863512418506"/>
        </c:manualLayout>
      </c:layout>
      <c:areaChart>
        <c:grouping val="stacked"/>
        <c:varyColors val="0"/>
        <c:ser>
          <c:idx val="0"/>
          <c:order val="0"/>
          <c:spPr>
            <a:solidFill>
              <a:schemeClr val="accent2"/>
            </a:solidFill>
          </c:spPr>
          <c:dLbls>
            <c:dLbl>
              <c:idx val="0"/>
              <c:layout>
                <c:manualLayout>
                  <c:x val="0.158362989323843"/>
                  <c:y val="-0.013683010262257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000000"/>
                        </a:solidFill>
                      </a:rPr>
                      <a:t>Android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400" b="1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'Global OS smartphone share (2)'!$C$1:$T$1</c:f>
              <c:strCache>
                <c:ptCount val="18"/>
                <c:pt idx="0">
                  <c:v>Q3 2009</c:v>
                </c:pt>
                <c:pt idx="1">
                  <c:v>Q4 2009</c:v>
                </c:pt>
                <c:pt idx="2">
                  <c:v>Q1 2010</c:v>
                </c:pt>
                <c:pt idx="3">
                  <c:v>Q2 2010</c:v>
                </c:pt>
                <c:pt idx="4">
                  <c:v>Q3 2010</c:v>
                </c:pt>
                <c:pt idx="5">
                  <c:v>Q4 2010</c:v>
                </c:pt>
                <c:pt idx="6">
                  <c:v>Q1 2011</c:v>
                </c:pt>
                <c:pt idx="7">
                  <c:v>Q2 2011</c:v>
                </c:pt>
                <c:pt idx="8">
                  <c:v>Q3 2011</c:v>
                </c:pt>
                <c:pt idx="9">
                  <c:v>Q4 2011</c:v>
                </c:pt>
                <c:pt idx="10">
                  <c:v>Q1 2012</c:v>
                </c:pt>
                <c:pt idx="11">
                  <c:v>Q2 2012</c:v>
                </c:pt>
                <c:pt idx="12">
                  <c:v>Q3 2012</c:v>
                </c:pt>
                <c:pt idx="13">
                  <c:v>Q4 2012</c:v>
                </c:pt>
                <c:pt idx="14">
                  <c:v>Q1 2013</c:v>
                </c:pt>
                <c:pt idx="15">
                  <c:v>Q2 2013</c:v>
                </c:pt>
                <c:pt idx="16">
                  <c:v>Q3 2013</c:v>
                </c:pt>
                <c:pt idx="17">
                  <c:v>Q4 2013</c:v>
                </c:pt>
              </c:strCache>
            </c:strRef>
          </c:cat>
          <c:val>
            <c:numRef>
              <c:f>'Global OS smartphone share (2)'!$C$4:$T$4</c:f>
              <c:numCache>
                <c:formatCode>0%</c:formatCode>
                <c:ptCount val="18"/>
                <c:pt idx="0">
                  <c:v>0.035</c:v>
                </c:pt>
                <c:pt idx="1">
                  <c:v>0.0751380948486718</c:v>
                </c:pt>
                <c:pt idx="2">
                  <c:v>0.096</c:v>
                </c:pt>
                <c:pt idx="3">
                  <c:v>0.172</c:v>
                </c:pt>
                <c:pt idx="4">
                  <c:v>0.253</c:v>
                </c:pt>
                <c:pt idx="5">
                  <c:v>0.31172385356704</c:v>
                </c:pt>
                <c:pt idx="6">
                  <c:v>0.36</c:v>
                </c:pt>
                <c:pt idx="7">
                  <c:v>0.434</c:v>
                </c:pt>
                <c:pt idx="8">
                  <c:v>0.525</c:v>
                </c:pt>
                <c:pt idx="9">
                  <c:v>0.509</c:v>
                </c:pt>
                <c:pt idx="10">
                  <c:v>0.561</c:v>
                </c:pt>
                <c:pt idx="11">
                  <c:v>0.641</c:v>
                </c:pt>
                <c:pt idx="12">
                  <c:v>0.724</c:v>
                </c:pt>
                <c:pt idx="13">
                  <c:v>0.697</c:v>
                </c:pt>
                <c:pt idx="14">
                  <c:v>0.744</c:v>
                </c:pt>
                <c:pt idx="15">
                  <c:v>0.793</c:v>
                </c:pt>
                <c:pt idx="16" formatCode="0.0%">
                  <c:v>0.8115</c:v>
                </c:pt>
                <c:pt idx="17">
                  <c:v>0.7825</c:v>
                </c:pt>
              </c:numCache>
            </c:numRef>
          </c:val>
        </c:ser>
        <c:ser>
          <c:idx val="1"/>
          <c:order val="1"/>
          <c:spPr>
            <a:solidFill>
              <a:schemeClr val="accent4"/>
            </a:solidFill>
          </c:spPr>
          <c:dLbls>
            <c:dLbl>
              <c:idx val="0"/>
              <c:layout>
                <c:manualLayout>
                  <c:x val="-0.177935943060498"/>
                  <c:y val="0.18129988597491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000000"/>
                        </a:solidFill>
                      </a:rPr>
                      <a:t>Apple iOS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200" b="1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'Global OS smartphone share (2)'!$C$1:$T$1</c:f>
              <c:strCache>
                <c:ptCount val="18"/>
                <c:pt idx="0">
                  <c:v>Q3 2009</c:v>
                </c:pt>
                <c:pt idx="1">
                  <c:v>Q4 2009</c:v>
                </c:pt>
                <c:pt idx="2">
                  <c:v>Q1 2010</c:v>
                </c:pt>
                <c:pt idx="3">
                  <c:v>Q2 2010</c:v>
                </c:pt>
                <c:pt idx="4">
                  <c:v>Q3 2010</c:v>
                </c:pt>
                <c:pt idx="5">
                  <c:v>Q4 2010</c:v>
                </c:pt>
                <c:pt idx="6">
                  <c:v>Q1 2011</c:v>
                </c:pt>
                <c:pt idx="7">
                  <c:v>Q2 2011</c:v>
                </c:pt>
                <c:pt idx="8">
                  <c:v>Q3 2011</c:v>
                </c:pt>
                <c:pt idx="9">
                  <c:v>Q4 2011</c:v>
                </c:pt>
                <c:pt idx="10">
                  <c:v>Q1 2012</c:v>
                </c:pt>
                <c:pt idx="11">
                  <c:v>Q2 2012</c:v>
                </c:pt>
                <c:pt idx="12">
                  <c:v>Q3 2012</c:v>
                </c:pt>
                <c:pt idx="13">
                  <c:v>Q4 2012</c:v>
                </c:pt>
                <c:pt idx="14">
                  <c:v>Q1 2013</c:v>
                </c:pt>
                <c:pt idx="15">
                  <c:v>Q2 2013</c:v>
                </c:pt>
                <c:pt idx="16">
                  <c:v>Q3 2013</c:v>
                </c:pt>
                <c:pt idx="17">
                  <c:v>Q4 2013</c:v>
                </c:pt>
              </c:strCache>
            </c:strRef>
          </c:cat>
          <c:val>
            <c:numRef>
              <c:f>'Global OS smartphone share (2)'!$C$5:$T$5</c:f>
              <c:numCache>
                <c:formatCode>0%</c:formatCode>
                <c:ptCount val="18"/>
                <c:pt idx="0">
                  <c:v>0.171</c:v>
                </c:pt>
                <c:pt idx="1">
                  <c:v>0.161699217152756</c:v>
                </c:pt>
                <c:pt idx="2">
                  <c:v>0.153</c:v>
                </c:pt>
                <c:pt idx="3">
                  <c:v>0.141</c:v>
                </c:pt>
                <c:pt idx="4">
                  <c:v>0.166</c:v>
                </c:pt>
                <c:pt idx="5">
                  <c:v>0.16181036155488</c:v>
                </c:pt>
                <c:pt idx="6">
                  <c:v>0.168</c:v>
                </c:pt>
                <c:pt idx="7">
                  <c:v>0.182</c:v>
                </c:pt>
                <c:pt idx="8">
                  <c:v>0.15</c:v>
                </c:pt>
                <c:pt idx="9">
                  <c:v>0.238</c:v>
                </c:pt>
                <c:pt idx="10">
                  <c:v>0.229</c:v>
                </c:pt>
                <c:pt idx="11">
                  <c:v>0.188</c:v>
                </c:pt>
                <c:pt idx="12">
                  <c:v>0.139</c:v>
                </c:pt>
                <c:pt idx="13">
                  <c:v>0.209</c:v>
                </c:pt>
                <c:pt idx="14">
                  <c:v>0.182</c:v>
                </c:pt>
                <c:pt idx="15">
                  <c:v>0.132</c:v>
                </c:pt>
                <c:pt idx="16" formatCode="0.0%">
                  <c:v>0.1315</c:v>
                </c:pt>
                <c:pt idx="17">
                  <c:v>0.176</c:v>
                </c:pt>
              </c:numCache>
            </c:numRef>
          </c:val>
        </c:ser>
        <c:ser>
          <c:idx val="5"/>
          <c:order val="2"/>
          <c:spPr>
            <a:solidFill>
              <a:schemeClr val="accent6"/>
            </a:solidFill>
          </c:spPr>
          <c:dLbls>
            <c:dLbl>
              <c:idx val="0"/>
              <c:layout>
                <c:manualLayout>
                  <c:x val="-0.369223396274041"/>
                  <c:y val="0.33860427927506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000000"/>
                        </a:solidFill>
                      </a:rPr>
                      <a:t>Microsoft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200" b="1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'Global OS smartphone share (2)'!$C$1:$T$1</c:f>
              <c:strCache>
                <c:ptCount val="18"/>
                <c:pt idx="0">
                  <c:v>Q3 2009</c:v>
                </c:pt>
                <c:pt idx="1">
                  <c:v>Q4 2009</c:v>
                </c:pt>
                <c:pt idx="2">
                  <c:v>Q1 2010</c:v>
                </c:pt>
                <c:pt idx="3">
                  <c:v>Q2 2010</c:v>
                </c:pt>
                <c:pt idx="4">
                  <c:v>Q3 2010</c:v>
                </c:pt>
                <c:pt idx="5">
                  <c:v>Q4 2010</c:v>
                </c:pt>
                <c:pt idx="6">
                  <c:v>Q1 2011</c:v>
                </c:pt>
                <c:pt idx="7">
                  <c:v>Q2 2011</c:v>
                </c:pt>
                <c:pt idx="8">
                  <c:v>Q3 2011</c:v>
                </c:pt>
                <c:pt idx="9">
                  <c:v>Q4 2011</c:v>
                </c:pt>
                <c:pt idx="10">
                  <c:v>Q1 2012</c:v>
                </c:pt>
                <c:pt idx="11">
                  <c:v>Q2 2012</c:v>
                </c:pt>
                <c:pt idx="12">
                  <c:v>Q3 2012</c:v>
                </c:pt>
                <c:pt idx="13">
                  <c:v>Q4 2012</c:v>
                </c:pt>
                <c:pt idx="14">
                  <c:v>Q1 2013</c:v>
                </c:pt>
                <c:pt idx="15">
                  <c:v>Q2 2013</c:v>
                </c:pt>
                <c:pt idx="16">
                  <c:v>Q3 2013</c:v>
                </c:pt>
                <c:pt idx="17">
                  <c:v>Q4 2013</c:v>
                </c:pt>
              </c:strCache>
            </c:strRef>
          </c:cat>
          <c:val>
            <c:numRef>
              <c:f>'Global OS smartphone share (2)'!$C$10:$T$10</c:f>
              <c:numCache>
                <c:formatCode>0.0%</c:formatCode>
                <c:ptCount val="18"/>
                <c:pt idx="0">
                  <c:v>0.079</c:v>
                </c:pt>
                <c:pt idx="1">
                  <c:v>0.0781118735549294</c:v>
                </c:pt>
                <c:pt idx="2">
                  <c:v>0.068</c:v>
                </c:pt>
                <c:pt idx="3">
                  <c:v>0.049</c:v>
                </c:pt>
                <c:pt idx="4">
                  <c:v>0.027</c:v>
                </c:pt>
                <c:pt idx="5">
                  <c:v>0.0341110293642067</c:v>
                </c:pt>
                <c:pt idx="6">
                  <c:v>0.036</c:v>
                </c:pt>
                <c:pt idx="7">
                  <c:v>0.016</c:v>
                </c:pt>
                <c:pt idx="8">
                  <c:v>0.015</c:v>
                </c:pt>
                <c:pt idx="9">
                  <c:v>0.019</c:v>
                </c:pt>
                <c:pt idx="10">
                  <c:v>0.019</c:v>
                </c:pt>
                <c:pt idx="11">
                  <c:v>0.027</c:v>
                </c:pt>
                <c:pt idx="12">
                  <c:v>0.024</c:v>
                </c:pt>
                <c:pt idx="13">
                  <c:v>0.03</c:v>
                </c:pt>
                <c:pt idx="14">
                  <c:v>0.029</c:v>
                </c:pt>
                <c:pt idx="15">
                  <c:v>0.037</c:v>
                </c:pt>
                <c:pt idx="16">
                  <c:v>0.0385</c:v>
                </c:pt>
                <c:pt idx="17" formatCode="0%">
                  <c:v>0.031</c:v>
                </c:pt>
              </c:numCache>
            </c:numRef>
          </c:val>
        </c:ser>
        <c:ser>
          <c:idx val="3"/>
          <c:order val="3"/>
          <c:spPr>
            <a:solidFill>
              <a:schemeClr val="accent1"/>
            </a:solidFill>
          </c:spPr>
          <c:dLbls>
            <c:dLbl>
              <c:idx val="0"/>
              <c:layout>
                <c:manualLayout>
                  <c:x val="-0.354984679675504"/>
                  <c:y val="0.27342052106907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000000"/>
                        </a:solidFill>
                      </a:rPr>
                      <a:t>BlackBerry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200" b="1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'Global OS smartphone share (2)'!$C$1:$T$1</c:f>
              <c:strCache>
                <c:ptCount val="18"/>
                <c:pt idx="0">
                  <c:v>Q3 2009</c:v>
                </c:pt>
                <c:pt idx="1">
                  <c:v>Q4 2009</c:v>
                </c:pt>
                <c:pt idx="2">
                  <c:v>Q1 2010</c:v>
                </c:pt>
                <c:pt idx="3">
                  <c:v>Q2 2010</c:v>
                </c:pt>
                <c:pt idx="4">
                  <c:v>Q3 2010</c:v>
                </c:pt>
                <c:pt idx="5">
                  <c:v>Q4 2010</c:v>
                </c:pt>
                <c:pt idx="6">
                  <c:v>Q1 2011</c:v>
                </c:pt>
                <c:pt idx="7">
                  <c:v>Q2 2011</c:v>
                </c:pt>
                <c:pt idx="8">
                  <c:v>Q3 2011</c:v>
                </c:pt>
                <c:pt idx="9">
                  <c:v>Q4 2011</c:v>
                </c:pt>
                <c:pt idx="10">
                  <c:v>Q1 2012</c:v>
                </c:pt>
                <c:pt idx="11">
                  <c:v>Q2 2012</c:v>
                </c:pt>
                <c:pt idx="12">
                  <c:v>Q3 2012</c:v>
                </c:pt>
                <c:pt idx="13">
                  <c:v>Q4 2012</c:v>
                </c:pt>
                <c:pt idx="14">
                  <c:v>Q1 2013</c:v>
                </c:pt>
                <c:pt idx="15">
                  <c:v>Q2 2013</c:v>
                </c:pt>
                <c:pt idx="16">
                  <c:v>Q3 2013</c:v>
                </c:pt>
                <c:pt idx="17">
                  <c:v>Q4 2013</c:v>
                </c:pt>
              </c:strCache>
            </c:strRef>
          </c:cat>
          <c:val>
            <c:numRef>
              <c:f>'Global OS smartphone share (2)'!$C$8:$T$8</c:f>
              <c:numCache>
                <c:formatCode>0%</c:formatCode>
                <c:ptCount val="18"/>
                <c:pt idx="0">
                  <c:v>0.207</c:v>
                </c:pt>
                <c:pt idx="1">
                  <c:v>0.187719780832509</c:v>
                </c:pt>
                <c:pt idx="2">
                  <c:v>0.197</c:v>
                </c:pt>
                <c:pt idx="3">
                  <c:v>0.187</c:v>
                </c:pt>
                <c:pt idx="4">
                  <c:v>0.154</c:v>
                </c:pt>
                <c:pt idx="5">
                  <c:v>0.133006031304573</c:v>
                </c:pt>
                <c:pt idx="6">
                  <c:v>0.129</c:v>
                </c:pt>
                <c:pt idx="7">
                  <c:v>0.117</c:v>
                </c:pt>
                <c:pt idx="8">
                  <c:v>0.11</c:v>
                </c:pt>
                <c:pt idx="9">
                  <c:v>0.088</c:v>
                </c:pt>
                <c:pt idx="10">
                  <c:v>0.069</c:v>
                </c:pt>
                <c:pt idx="11">
                  <c:v>0.052</c:v>
                </c:pt>
                <c:pt idx="12">
                  <c:v>0.053</c:v>
                </c:pt>
                <c:pt idx="13">
                  <c:v>0.035</c:v>
                </c:pt>
                <c:pt idx="14">
                  <c:v>0.03</c:v>
                </c:pt>
                <c:pt idx="15" formatCode="0.0%">
                  <c:v>0.029</c:v>
                </c:pt>
                <c:pt idx="16" formatCode="0.0%">
                  <c:v>0.0135</c:v>
                </c:pt>
                <c:pt idx="17">
                  <c:v>0.006</c:v>
                </c:pt>
              </c:numCache>
            </c:numRef>
          </c:val>
        </c:ser>
        <c:ser>
          <c:idx val="4"/>
          <c:order val="4"/>
          <c:spPr>
            <a:solidFill>
              <a:schemeClr val="accent3"/>
            </a:solidFill>
          </c:spPr>
          <c:dLbls>
            <c:dLbl>
              <c:idx val="0"/>
              <c:layout>
                <c:manualLayout>
                  <c:x val="-0.26779359430605"/>
                  <c:y val="0.095781071835803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000000"/>
                        </a:solidFill>
                      </a:rPr>
                      <a:t>Other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200" b="1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'Global OS smartphone share (2)'!$C$1:$T$1</c:f>
              <c:strCache>
                <c:ptCount val="18"/>
                <c:pt idx="0">
                  <c:v>Q3 2009</c:v>
                </c:pt>
                <c:pt idx="1">
                  <c:v>Q4 2009</c:v>
                </c:pt>
                <c:pt idx="2">
                  <c:v>Q1 2010</c:v>
                </c:pt>
                <c:pt idx="3">
                  <c:v>Q2 2010</c:v>
                </c:pt>
                <c:pt idx="4">
                  <c:v>Q3 2010</c:v>
                </c:pt>
                <c:pt idx="5">
                  <c:v>Q4 2010</c:v>
                </c:pt>
                <c:pt idx="6">
                  <c:v>Q1 2011</c:v>
                </c:pt>
                <c:pt idx="7">
                  <c:v>Q2 2011</c:v>
                </c:pt>
                <c:pt idx="8">
                  <c:v>Q3 2011</c:v>
                </c:pt>
                <c:pt idx="9">
                  <c:v>Q4 2011</c:v>
                </c:pt>
                <c:pt idx="10">
                  <c:v>Q1 2012</c:v>
                </c:pt>
                <c:pt idx="11">
                  <c:v>Q2 2012</c:v>
                </c:pt>
                <c:pt idx="12">
                  <c:v>Q3 2012</c:v>
                </c:pt>
                <c:pt idx="13">
                  <c:v>Q4 2012</c:v>
                </c:pt>
                <c:pt idx="14">
                  <c:v>Q1 2013</c:v>
                </c:pt>
                <c:pt idx="15">
                  <c:v>Q2 2013</c:v>
                </c:pt>
                <c:pt idx="16">
                  <c:v>Q3 2013</c:v>
                </c:pt>
                <c:pt idx="17">
                  <c:v>Q4 2013</c:v>
                </c:pt>
              </c:strCache>
            </c:strRef>
          </c:cat>
          <c:val>
            <c:numRef>
              <c:f>'Global OS smartphone share (2)'!$C$6:$T$6</c:f>
              <c:numCache>
                <c:formatCode>0%</c:formatCode>
                <c:ptCount val="18"/>
                <c:pt idx="0">
                  <c:v>0.508</c:v>
                </c:pt>
                <c:pt idx="1">
                  <c:v>0.497331033611134</c:v>
                </c:pt>
                <c:pt idx="2">
                  <c:v>0.486</c:v>
                </c:pt>
                <c:pt idx="3">
                  <c:v>0.451</c:v>
                </c:pt>
                <c:pt idx="4">
                  <c:v>0.4</c:v>
                </c:pt>
                <c:pt idx="5">
                  <c:v>0.359348724209301</c:v>
                </c:pt>
                <c:pt idx="6">
                  <c:v>0.307</c:v>
                </c:pt>
                <c:pt idx="7">
                  <c:v>0.251</c:v>
                </c:pt>
                <c:pt idx="8">
                  <c:v>0.2</c:v>
                </c:pt>
                <c:pt idx="9">
                  <c:v>0.146</c:v>
                </c:pt>
                <c:pt idx="10">
                  <c:v>0.122</c:v>
                </c:pt>
                <c:pt idx="11">
                  <c:v>0.092</c:v>
                </c:pt>
                <c:pt idx="12">
                  <c:v>0.0599999999999998</c:v>
                </c:pt>
                <c:pt idx="13">
                  <c:v>0.029</c:v>
                </c:pt>
                <c:pt idx="14">
                  <c:v>0.015</c:v>
                </c:pt>
                <c:pt idx="15">
                  <c:v>0.009</c:v>
                </c:pt>
                <c:pt idx="16" formatCode="0.0%">
                  <c:v>0.005</c:v>
                </c:pt>
                <c:pt idx="17">
                  <c:v>0.007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9063112"/>
        <c:axId val="2099068856"/>
      </c:areaChart>
      <c:catAx>
        <c:axId val="2099063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r>
                  <a:rPr lang="en-US" sz="2000" b="0" i="1">
                    <a:solidFill>
                      <a:srgbClr val="000000"/>
                    </a:solidFill>
                  </a:rPr>
                  <a:t>Source: IDC, Strategy Analytics</a:t>
                </a:r>
              </a:p>
            </c:rich>
          </c:tx>
          <c:layout>
            <c:manualLayout>
              <c:xMode val="edge"/>
              <c:yMode val="edge"/>
              <c:x val="0.000738600907299761"/>
              <c:y val="0.96598331681223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9068856"/>
        <c:crosses val="autoZero"/>
        <c:auto val="1"/>
        <c:lblAlgn val="ctr"/>
        <c:lblOffset val="100"/>
        <c:noMultiLvlLbl val="0"/>
      </c:catAx>
      <c:valAx>
        <c:axId val="2099068856"/>
        <c:scaling>
          <c:orientation val="minMax"/>
          <c:max val="1.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2200">
                    <a:solidFill>
                      <a:srgbClr val="000000"/>
                    </a:solidFill>
                  </a:rPr>
                  <a:t>Share of Global Unit Sales</a:t>
                </a:r>
              </a:p>
            </c:rich>
          </c:tx>
          <c:layout>
            <c:manualLayout>
              <c:xMode val="edge"/>
              <c:yMode val="edge"/>
              <c:x val="0.00670601339423319"/>
              <c:y val="0.354821623948487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9063112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400">
                <a:solidFill>
                  <a:srgbClr val="000000"/>
                </a:solidFill>
              </a:defRPr>
            </a:pPr>
            <a:r>
              <a:rPr lang="en-US" sz="4400">
                <a:solidFill>
                  <a:srgbClr val="000000"/>
                </a:solidFill>
              </a:rPr>
              <a:t>Global Tablet Market</a:t>
            </a:r>
            <a:r>
              <a:rPr lang="en-US" sz="4400" baseline="0">
                <a:solidFill>
                  <a:srgbClr val="000000"/>
                </a:solidFill>
              </a:rPr>
              <a:t> Share </a:t>
            </a:r>
          </a:p>
          <a:p>
            <a:pPr>
              <a:defRPr sz="4400">
                <a:solidFill>
                  <a:srgbClr val="000000"/>
                </a:solidFill>
              </a:defRPr>
            </a:pPr>
            <a:r>
              <a:rPr lang="en-US" sz="2400" b="0" i="1" baseline="0">
                <a:solidFill>
                  <a:srgbClr val="000000"/>
                </a:solidFill>
              </a:rPr>
              <a:t>By Platform</a:t>
            </a:r>
            <a:endParaRPr lang="en-US" sz="2400" b="0" i="1">
              <a:solidFill>
                <a:srgbClr val="000000"/>
              </a:solidFill>
            </a:endParaRPr>
          </a:p>
        </c:rich>
      </c:tx>
      <c:overlay val="0"/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'TabletMarketShare (2)'!$B$3</c:f>
              <c:strCache>
                <c:ptCount val="1"/>
                <c:pt idx="0">
                  <c:v>Android</c:v>
                </c:pt>
              </c:strCache>
            </c:strRef>
          </c:tx>
          <c:spPr>
            <a:solidFill>
              <a:schemeClr val="accent2"/>
            </a:solidFill>
          </c:spPr>
          <c:dLbls>
            <c:dLbl>
              <c:idx val="0"/>
              <c:layout>
                <c:manualLayout>
                  <c:x val="0.255451713395639"/>
                  <c:y val="-0.0760546642899584"/>
                </c:manualLayout>
              </c:layout>
              <c:spPr/>
              <c:txPr>
                <a:bodyPr/>
                <a:lstStyle/>
                <a:p>
                  <a:pPr>
                    <a:defRPr sz="2000" b="0" i="0"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800" b="1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'TabletMarketShare (2)'!$C$1:$Q$2</c:f>
              <c:strCache>
                <c:ptCount val="15"/>
                <c:pt idx="0">
                  <c:v>Q2 2010</c:v>
                </c:pt>
                <c:pt idx="1">
                  <c:v>Q3 2010</c:v>
                </c:pt>
                <c:pt idx="2">
                  <c:v>Q4 2010</c:v>
                </c:pt>
                <c:pt idx="3">
                  <c:v>Q1 2011</c:v>
                </c:pt>
                <c:pt idx="4">
                  <c:v>Q2 2011</c:v>
                </c:pt>
                <c:pt idx="5">
                  <c:v>Q3 2011</c:v>
                </c:pt>
                <c:pt idx="6">
                  <c:v>Q4 2011</c:v>
                </c:pt>
                <c:pt idx="7">
                  <c:v>Q1 2012</c:v>
                </c:pt>
                <c:pt idx="8">
                  <c:v>Q2 2012</c:v>
                </c:pt>
                <c:pt idx="9">
                  <c:v>Q3 2012</c:v>
                </c:pt>
                <c:pt idx="10">
                  <c:v>Q4 2012</c:v>
                </c:pt>
                <c:pt idx="11">
                  <c:v>Q1 2013</c:v>
                </c:pt>
                <c:pt idx="12">
                  <c:v>Q2 2013</c:v>
                </c:pt>
                <c:pt idx="13">
                  <c:v>Q3 2013</c:v>
                </c:pt>
                <c:pt idx="14">
                  <c:v>Q4 2013</c:v>
                </c:pt>
              </c:strCache>
            </c:strRef>
          </c:cat>
          <c:val>
            <c:numRef>
              <c:f>'TabletMarketShare (2)'!$C$3:$Q$3</c:f>
              <c:numCache>
                <c:formatCode>_(* #,##0_);_(* \(#,##0\);_(* "-"??_);_(@_)</c:formatCode>
                <c:ptCount val="15"/>
                <c:pt idx="0">
                  <c:v>100000.0</c:v>
                </c:pt>
                <c:pt idx="1">
                  <c:v>100000.0</c:v>
                </c:pt>
                <c:pt idx="2">
                  <c:v>2.134E6</c:v>
                </c:pt>
                <c:pt idx="3">
                  <c:v>2.448E6</c:v>
                </c:pt>
                <c:pt idx="4">
                  <c:v>3.6448E6</c:v>
                </c:pt>
                <c:pt idx="5">
                  <c:v>4.5E6</c:v>
                </c:pt>
                <c:pt idx="6">
                  <c:v>1.05E7</c:v>
                </c:pt>
                <c:pt idx="7">
                  <c:v>2.656E6</c:v>
                </c:pt>
                <c:pt idx="8">
                  <c:v>5.923E6</c:v>
                </c:pt>
                <c:pt idx="9">
                  <c:v>1.02E7</c:v>
                </c:pt>
                <c:pt idx="10">
                  <c:v>3.05E7</c:v>
                </c:pt>
                <c:pt idx="11" formatCode="#,##0">
                  <c:v>2.546675E7</c:v>
                </c:pt>
                <c:pt idx="12">
                  <c:v>3.2819E7</c:v>
                </c:pt>
                <c:pt idx="13">
                  <c:v>3.1609797E7</c:v>
                </c:pt>
                <c:pt idx="14">
                  <c:v>4.15E7</c:v>
                </c:pt>
              </c:numCache>
            </c:numRef>
          </c:val>
        </c:ser>
        <c:ser>
          <c:idx val="1"/>
          <c:order val="1"/>
          <c:tx>
            <c:strRef>
              <c:f>'TabletMarketShare (2)'!$B$4</c:f>
              <c:strCache>
                <c:ptCount val="1"/>
                <c:pt idx="0">
                  <c:v>Apple</c:v>
                </c:pt>
              </c:strCache>
            </c:strRef>
          </c:tx>
          <c:spPr>
            <a:solidFill>
              <a:schemeClr val="accent4"/>
            </a:solidFill>
          </c:spPr>
          <c:dLbls>
            <c:txPr>
              <a:bodyPr/>
              <a:lstStyle/>
              <a:p>
                <a:pPr>
                  <a:defRPr sz="2000" b="0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'TabletMarketShare (2)'!$C$1:$Q$2</c:f>
              <c:strCache>
                <c:ptCount val="15"/>
                <c:pt idx="0">
                  <c:v>Q2 2010</c:v>
                </c:pt>
                <c:pt idx="1">
                  <c:v>Q3 2010</c:v>
                </c:pt>
                <c:pt idx="2">
                  <c:v>Q4 2010</c:v>
                </c:pt>
                <c:pt idx="3">
                  <c:v>Q1 2011</c:v>
                </c:pt>
                <c:pt idx="4">
                  <c:v>Q2 2011</c:v>
                </c:pt>
                <c:pt idx="5">
                  <c:v>Q3 2011</c:v>
                </c:pt>
                <c:pt idx="6">
                  <c:v>Q4 2011</c:v>
                </c:pt>
                <c:pt idx="7">
                  <c:v>Q1 2012</c:v>
                </c:pt>
                <c:pt idx="8">
                  <c:v>Q2 2012</c:v>
                </c:pt>
                <c:pt idx="9">
                  <c:v>Q3 2012</c:v>
                </c:pt>
                <c:pt idx="10">
                  <c:v>Q4 2012</c:v>
                </c:pt>
                <c:pt idx="11">
                  <c:v>Q1 2013</c:v>
                </c:pt>
                <c:pt idx="12">
                  <c:v>Q2 2013</c:v>
                </c:pt>
                <c:pt idx="13">
                  <c:v>Q3 2013</c:v>
                </c:pt>
                <c:pt idx="14">
                  <c:v>Q4 2013</c:v>
                </c:pt>
              </c:strCache>
            </c:strRef>
          </c:cat>
          <c:val>
            <c:numRef>
              <c:f>'TabletMarketShare (2)'!$C$4:$Q$4</c:f>
              <c:numCache>
                <c:formatCode>_(* #,##0_);_(* \(#,##0\);_(* "-"??_);_(@_)</c:formatCode>
                <c:ptCount val="15"/>
                <c:pt idx="0">
                  <c:v>3.27E6</c:v>
                </c:pt>
                <c:pt idx="1">
                  <c:v>4.19E6</c:v>
                </c:pt>
                <c:pt idx="2">
                  <c:v>7.33E6</c:v>
                </c:pt>
                <c:pt idx="3">
                  <c:v>4.69E6</c:v>
                </c:pt>
                <c:pt idx="4">
                  <c:v>9.25E6</c:v>
                </c:pt>
                <c:pt idx="5">
                  <c:v>1.112E7</c:v>
                </c:pt>
                <c:pt idx="6">
                  <c:v>1.5434E7</c:v>
                </c:pt>
                <c:pt idx="7">
                  <c:v>1.1798E7</c:v>
                </c:pt>
                <c:pt idx="8">
                  <c:v>1.7042E7</c:v>
                </c:pt>
                <c:pt idx="9">
                  <c:v>1.403E7</c:v>
                </c:pt>
                <c:pt idx="10">
                  <c:v>2.29E7</c:v>
                </c:pt>
                <c:pt idx="11" formatCode="#,##0">
                  <c:v>1.9477E7</c:v>
                </c:pt>
                <c:pt idx="12">
                  <c:v>1.4617E7</c:v>
                </c:pt>
                <c:pt idx="13">
                  <c:v>1.41E7</c:v>
                </c:pt>
                <c:pt idx="14">
                  <c:v>2.6E7</c:v>
                </c:pt>
              </c:numCache>
            </c:numRef>
          </c:val>
        </c:ser>
        <c:ser>
          <c:idx val="2"/>
          <c:order val="2"/>
          <c:tx>
            <c:strRef>
              <c:f>'TabletMarketShare (2)'!$B$5</c:f>
              <c:strCache>
                <c:ptCount val="1"/>
                <c:pt idx="0">
                  <c:v>Amazon (Kindle Fire)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dLbls>
            <c:dLbl>
              <c:idx val="0"/>
              <c:layout>
                <c:manualLayout>
                  <c:x val="0.17890520694259"/>
                  <c:y val="-0.0225788220322727"/>
                </c:manualLayout>
              </c:layout>
              <c:spPr/>
              <c:txPr>
                <a:bodyPr/>
                <a:lstStyle/>
                <a:p>
                  <a:pPr>
                    <a:defRPr sz="2000" b="0" i="0"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800" b="1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'TabletMarketShare (2)'!$C$1:$Q$2</c:f>
              <c:strCache>
                <c:ptCount val="15"/>
                <c:pt idx="0">
                  <c:v>Q2 2010</c:v>
                </c:pt>
                <c:pt idx="1">
                  <c:v>Q3 2010</c:v>
                </c:pt>
                <c:pt idx="2">
                  <c:v>Q4 2010</c:v>
                </c:pt>
                <c:pt idx="3">
                  <c:v>Q1 2011</c:v>
                </c:pt>
                <c:pt idx="4">
                  <c:v>Q2 2011</c:v>
                </c:pt>
                <c:pt idx="5">
                  <c:v>Q3 2011</c:v>
                </c:pt>
                <c:pt idx="6">
                  <c:v>Q4 2011</c:v>
                </c:pt>
                <c:pt idx="7">
                  <c:v>Q1 2012</c:v>
                </c:pt>
                <c:pt idx="8">
                  <c:v>Q2 2012</c:v>
                </c:pt>
                <c:pt idx="9">
                  <c:v>Q3 2012</c:v>
                </c:pt>
                <c:pt idx="10">
                  <c:v>Q4 2012</c:v>
                </c:pt>
                <c:pt idx="11">
                  <c:v>Q1 2013</c:v>
                </c:pt>
                <c:pt idx="12">
                  <c:v>Q2 2013</c:v>
                </c:pt>
                <c:pt idx="13">
                  <c:v>Q3 2013</c:v>
                </c:pt>
                <c:pt idx="14">
                  <c:v>Q4 2013</c:v>
                </c:pt>
              </c:strCache>
            </c:strRef>
          </c:cat>
          <c:val>
            <c:numRef>
              <c:f>'TabletMarketShare (2)'!$C$5:$Q$5</c:f>
              <c:numCache>
                <c:formatCode>_(* #,##0_);_(* \(#,##0\);_(* "-"??_);_(@_)</c:formatCode>
                <c:ptCount val="15"/>
                <c:pt idx="6">
                  <c:v>4.75E6</c:v>
                </c:pt>
                <c:pt idx="7">
                  <c:v>1.185E6</c:v>
                </c:pt>
                <c:pt idx="8">
                  <c:v>1.027E6</c:v>
                </c:pt>
                <c:pt idx="9">
                  <c:v>2.1E6</c:v>
                </c:pt>
                <c:pt idx="10">
                  <c:v>6.0E6</c:v>
                </c:pt>
                <c:pt idx="11" formatCode="#,##0">
                  <c:v>1.8E6</c:v>
                </c:pt>
                <c:pt idx="12">
                  <c:v>1.55E6</c:v>
                </c:pt>
                <c:pt idx="13">
                  <c:v>2.5E6</c:v>
                </c:pt>
                <c:pt idx="14">
                  <c:v>5.8E6</c:v>
                </c:pt>
              </c:numCache>
            </c:numRef>
          </c:val>
        </c:ser>
        <c:ser>
          <c:idx val="3"/>
          <c:order val="3"/>
          <c:tx>
            <c:strRef>
              <c:f>'TabletMarketShare (2)'!$B$6</c:f>
              <c:strCache>
                <c:ptCount val="1"/>
                <c:pt idx="0">
                  <c:v>Blackberry</c:v>
                </c:pt>
              </c:strCache>
            </c:strRef>
          </c:tx>
          <c:spPr>
            <a:solidFill>
              <a:schemeClr val="accent6"/>
            </a:solidFill>
          </c:spPr>
          <c:dLbls>
            <c:dLbl>
              <c:idx val="0"/>
              <c:layout>
                <c:manualLayout>
                  <c:x val="-0.186915887850467"/>
                  <c:y val="-0.0308973009389869"/>
                </c:manualLayout>
              </c:layout>
              <c:tx>
                <c:rich>
                  <a:bodyPr/>
                  <a:lstStyle/>
                  <a:p>
                    <a:r>
                      <a:rPr lang="en-US" b="0">
                        <a:solidFill>
                          <a:srgbClr val="000000"/>
                        </a:solidFill>
                      </a:rPr>
                      <a:t>BlackBerry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sz="1800" b="0" i="0" baseline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'TabletMarketShare (2)'!$C$1:$Q$2</c:f>
              <c:strCache>
                <c:ptCount val="15"/>
                <c:pt idx="0">
                  <c:v>Q2 2010</c:v>
                </c:pt>
                <c:pt idx="1">
                  <c:v>Q3 2010</c:v>
                </c:pt>
                <c:pt idx="2">
                  <c:v>Q4 2010</c:v>
                </c:pt>
                <c:pt idx="3">
                  <c:v>Q1 2011</c:v>
                </c:pt>
                <c:pt idx="4">
                  <c:v>Q2 2011</c:v>
                </c:pt>
                <c:pt idx="5">
                  <c:v>Q3 2011</c:v>
                </c:pt>
                <c:pt idx="6">
                  <c:v>Q4 2011</c:v>
                </c:pt>
                <c:pt idx="7">
                  <c:v>Q1 2012</c:v>
                </c:pt>
                <c:pt idx="8">
                  <c:v>Q2 2012</c:v>
                </c:pt>
                <c:pt idx="9">
                  <c:v>Q3 2012</c:v>
                </c:pt>
                <c:pt idx="10">
                  <c:v>Q4 2012</c:v>
                </c:pt>
                <c:pt idx="11">
                  <c:v>Q1 2013</c:v>
                </c:pt>
                <c:pt idx="12">
                  <c:v>Q2 2013</c:v>
                </c:pt>
                <c:pt idx="13">
                  <c:v>Q3 2013</c:v>
                </c:pt>
                <c:pt idx="14">
                  <c:v>Q4 2013</c:v>
                </c:pt>
              </c:strCache>
            </c:strRef>
          </c:cat>
          <c:val>
            <c:numRef>
              <c:f>'TabletMarketShare (2)'!$C$6:$Q$6</c:f>
              <c:numCache>
                <c:formatCode>_(* #,##0_);_(* \(#,##0\);_(* "-"??_);_(@_)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500000.0</c:v>
                </c:pt>
                <c:pt idx="5">
                  <c:v>200000.0</c:v>
                </c:pt>
                <c:pt idx="6">
                  <c:v>150000.0</c:v>
                </c:pt>
                <c:pt idx="7">
                  <c:v>500000.0</c:v>
                </c:pt>
                <c:pt idx="8">
                  <c:v>260000.0</c:v>
                </c:pt>
                <c:pt idx="9">
                  <c:v>150000.0</c:v>
                </c:pt>
                <c:pt idx="10">
                  <c:v>255000.0</c:v>
                </c:pt>
                <c:pt idx="11" formatCode="#,##0">
                  <c:v>370000.0</c:v>
                </c:pt>
                <c:pt idx="12">
                  <c:v>100000.0</c:v>
                </c:pt>
                <c:pt idx="13">
                  <c:v>40041.0</c:v>
                </c:pt>
                <c:pt idx="14">
                  <c:v>45000.0</c:v>
                </c:pt>
              </c:numCache>
            </c:numRef>
          </c:val>
        </c:ser>
        <c:ser>
          <c:idx val="4"/>
          <c:order val="4"/>
          <c:tx>
            <c:strRef>
              <c:f>'TabletMarketShare (2)'!$B$7</c:f>
              <c:strCache>
                <c:ptCount val="1"/>
                <c:pt idx="0">
                  <c:v>Barnes &amp; Noble (Nook)</c:v>
                </c:pt>
              </c:strCache>
            </c:strRef>
          </c:tx>
          <c:spPr>
            <a:solidFill>
              <a:schemeClr val="tx2"/>
            </a:solidFill>
          </c:spPr>
          <c:dLbls>
            <c:dLbl>
              <c:idx val="0"/>
              <c:layout>
                <c:manualLayout>
                  <c:x val="-0.0471740097908322"/>
                  <c:y val="0.0023766146878699"/>
                </c:manualLayout>
              </c:layout>
              <c:tx>
                <c:rich>
                  <a:bodyPr/>
                  <a:lstStyle/>
                  <a:p>
                    <a:r>
                      <a:rPr lang="en-US" sz="1800" b="0">
                        <a:solidFill>
                          <a:srgbClr val="000000"/>
                        </a:solidFill>
                      </a:rPr>
                      <a:t>Nook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800" b="0" i="0" baseline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'TabletMarketShare (2)'!$C$1:$Q$2</c:f>
              <c:strCache>
                <c:ptCount val="15"/>
                <c:pt idx="0">
                  <c:v>Q2 2010</c:v>
                </c:pt>
                <c:pt idx="1">
                  <c:v>Q3 2010</c:v>
                </c:pt>
                <c:pt idx="2">
                  <c:v>Q4 2010</c:v>
                </c:pt>
                <c:pt idx="3">
                  <c:v>Q1 2011</c:v>
                </c:pt>
                <c:pt idx="4">
                  <c:v>Q2 2011</c:v>
                </c:pt>
                <c:pt idx="5">
                  <c:v>Q3 2011</c:v>
                </c:pt>
                <c:pt idx="6">
                  <c:v>Q4 2011</c:v>
                </c:pt>
                <c:pt idx="7">
                  <c:v>Q1 2012</c:v>
                </c:pt>
                <c:pt idx="8">
                  <c:v>Q2 2012</c:v>
                </c:pt>
                <c:pt idx="9">
                  <c:v>Q3 2012</c:v>
                </c:pt>
                <c:pt idx="10">
                  <c:v>Q4 2012</c:v>
                </c:pt>
                <c:pt idx="11">
                  <c:v>Q1 2013</c:v>
                </c:pt>
                <c:pt idx="12">
                  <c:v>Q2 2013</c:v>
                </c:pt>
                <c:pt idx="13">
                  <c:v>Q3 2013</c:v>
                </c:pt>
                <c:pt idx="14">
                  <c:v>Q4 2013</c:v>
                </c:pt>
              </c:strCache>
            </c:strRef>
          </c:cat>
          <c:val>
            <c:numRef>
              <c:f>'TabletMarketShare (2)'!$C$7:$Q$7</c:f>
              <c:numCache>
                <c:formatCode>_(* #,##0_);_(* \(#,##0\);_(* "-"??_);_(@_)</c:formatCode>
                <c:ptCount val="15"/>
                <c:pt idx="6">
                  <c:v>2.025E6</c:v>
                </c:pt>
                <c:pt idx="7">
                  <c:v>592500.0</c:v>
                </c:pt>
                <c:pt idx="8">
                  <c:v>350000.0</c:v>
                </c:pt>
                <c:pt idx="9">
                  <c:v>365676.7283349562</c:v>
                </c:pt>
                <c:pt idx="10">
                  <c:v>1.0E6</c:v>
                </c:pt>
                <c:pt idx="11" formatCode="#,##0">
                  <c:v>533250.0</c:v>
                </c:pt>
                <c:pt idx="12">
                  <c:v>231000.0</c:v>
                </c:pt>
                <c:pt idx="13">
                  <c:v>200000.0</c:v>
                </c:pt>
                <c:pt idx="14">
                  <c:v>175000.0</c:v>
                </c:pt>
              </c:numCache>
            </c:numRef>
          </c:val>
        </c:ser>
        <c:ser>
          <c:idx val="5"/>
          <c:order val="5"/>
          <c:tx>
            <c:strRef>
              <c:f>'TabletMarketShare (2)'!$B$8</c:f>
              <c:strCache>
                <c:ptCount val="1"/>
                <c:pt idx="0">
                  <c:v>Windows</c:v>
                </c:pt>
              </c:strCache>
            </c:strRef>
          </c:tx>
          <c:spPr>
            <a:solidFill>
              <a:schemeClr val="accent3"/>
            </a:solidFill>
          </c:spPr>
          <c:dLbls>
            <c:dLbl>
              <c:idx val="0"/>
              <c:layout>
                <c:manualLayout>
                  <c:x val="0.307966177125056"/>
                  <c:y val="0.0154486036838978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 b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'TabletMarketShare (2)'!$C$1:$Q$2</c:f>
              <c:strCache>
                <c:ptCount val="15"/>
                <c:pt idx="0">
                  <c:v>Q2 2010</c:v>
                </c:pt>
                <c:pt idx="1">
                  <c:v>Q3 2010</c:v>
                </c:pt>
                <c:pt idx="2">
                  <c:v>Q4 2010</c:v>
                </c:pt>
                <c:pt idx="3">
                  <c:v>Q1 2011</c:v>
                </c:pt>
                <c:pt idx="4">
                  <c:v>Q2 2011</c:v>
                </c:pt>
                <c:pt idx="5">
                  <c:v>Q3 2011</c:v>
                </c:pt>
                <c:pt idx="6">
                  <c:v>Q4 2011</c:v>
                </c:pt>
                <c:pt idx="7">
                  <c:v>Q1 2012</c:v>
                </c:pt>
                <c:pt idx="8">
                  <c:v>Q2 2012</c:v>
                </c:pt>
                <c:pt idx="9">
                  <c:v>Q3 2012</c:v>
                </c:pt>
                <c:pt idx="10">
                  <c:v>Q4 2012</c:v>
                </c:pt>
                <c:pt idx="11">
                  <c:v>Q1 2013</c:v>
                </c:pt>
                <c:pt idx="12">
                  <c:v>Q2 2013</c:v>
                </c:pt>
                <c:pt idx="13">
                  <c:v>Q3 2013</c:v>
                </c:pt>
                <c:pt idx="14">
                  <c:v>Q4 2013</c:v>
                </c:pt>
              </c:strCache>
            </c:strRef>
          </c:cat>
          <c:val>
            <c:numRef>
              <c:f>'TabletMarketShare (2)'!$C$8:$Q$8</c:f>
              <c:numCache>
                <c:formatCode>_(* #,##0_);_(* \(#,##0\);_(* "-"??_);_(@_)</c:formatCode>
                <c:ptCount val="15"/>
                <c:pt idx="8">
                  <c:v>200000.0</c:v>
                </c:pt>
                <c:pt idx="9">
                  <c:v>400000.0</c:v>
                </c:pt>
                <c:pt idx="10">
                  <c:v>1.8E6</c:v>
                </c:pt>
                <c:pt idx="11" formatCode="#,##0">
                  <c:v>1.8E6</c:v>
                </c:pt>
                <c:pt idx="12">
                  <c:v>2.3E6</c:v>
                </c:pt>
                <c:pt idx="13">
                  <c:v>1.630869E6</c:v>
                </c:pt>
                <c:pt idx="14">
                  <c:v>3.3E6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9178936"/>
        <c:axId val="2099184552"/>
      </c:areaChart>
      <c:catAx>
        <c:axId val="2099178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 i="1">
                    <a:solidFill>
                      <a:srgbClr val="000000"/>
                    </a:solidFill>
                  </a:defRPr>
                </a:pPr>
                <a:r>
                  <a:rPr lang="en-US" sz="1800" b="0" i="1">
                    <a:solidFill>
                      <a:srgbClr val="000000"/>
                    </a:solidFill>
                  </a:rPr>
                  <a:t>Source: BI Intelligence Estimates</a:t>
                </a:r>
              </a:p>
            </c:rich>
          </c:tx>
          <c:layout>
            <c:manualLayout>
              <c:xMode val="edge"/>
              <c:yMode val="edge"/>
              <c:x val="0.000657604715298441"/>
              <c:y val="0.970766488413547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9184552"/>
        <c:crosses val="autoZero"/>
        <c:auto val="1"/>
        <c:lblAlgn val="ctr"/>
        <c:lblOffset val="100"/>
        <c:noMultiLvlLbl val="0"/>
      </c:catAx>
      <c:valAx>
        <c:axId val="20991845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9178936"/>
        <c:crosses val="autoZero"/>
        <c:crossBetween val="midCat"/>
      </c:valAx>
    </c:plotArea>
    <c:plotVisOnly val="1"/>
    <c:dispBlanksAs val="zero"/>
    <c:showDLblsOverMax val="0"/>
  </c:chart>
  <c:spPr>
    <a:solidFill>
      <a:srgbClr val="FFFFFF"/>
    </a:solidFill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000">
                <a:solidFill>
                  <a:srgbClr val="000000"/>
                </a:solidFill>
              </a:defRPr>
            </a:pPr>
            <a:r>
              <a:rPr lang="en-US" sz="4000">
                <a:solidFill>
                  <a:srgbClr val="000000"/>
                </a:solidFill>
              </a:rPr>
              <a:t>Global Computing Platform Market Share</a:t>
            </a:r>
          </a:p>
        </c:rich>
      </c:tx>
      <c:overlay val="0"/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'ComputingPlatform (2)'!$B$33</c:f>
              <c:strCache>
                <c:ptCount val="1"/>
                <c:pt idx="0">
                  <c:v>Android</c:v>
                </c:pt>
              </c:strCache>
            </c:strRef>
          </c:tx>
          <c:spPr>
            <a:solidFill>
              <a:schemeClr val="accent2"/>
            </a:solidFill>
          </c:spPr>
          <c:dLbls>
            <c:dLbl>
              <c:idx val="0"/>
              <c:layout>
                <c:manualLayout>
                  <c:x val="0.192943516168659"/>
                  <c:y val="-0.0534471756247859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 b="1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'ComputingPlatform (2)'!$C$32:$V$32</c:f>
              <c:strCache>
                <c:ptCount val="20"/>
                <c:pt idx="0">
                  <c:v>Q1 2009</c:v>
                </c:pt>
                <c:pt idx="1">
                  <c:v>Q2 2009</c:v>
                </c:pt>
                <c:pt idx="2">
                  <c:v>Q3 2009</c:v>
                </c:pt>
                <c:pt idx="3">
                  <c:v>Q4 2009</c:v>
                </c:pt>
                <c:pt idx="4">
                  <c:v>Q1 2010</c:v>
                </c:pt>
                <c:pt idx="5">
                  <c:v>Q2 2010</c:v>
                </c:pt>
                <c:pt idx="6">
                  <c:v>Q3 2010</c:v>
                </c:pt>
                <c:pt idx="7">
                  <c:v>Q4 2010</c:v>
                </c:pt>
                <c:pt idx="8">
                  <c:v>Q1 2011</c:v>
                </c:pt>
                <c:pt idx="9">
                  <c:v>Q2 2011</c:v>
                </c:pt>
                <c:pt idx="10">
                  <c:v>Q3 2011</c:v>
                </c:pt>
                <c:pt idx="11">
                  <c:v>Q4 2011</c:v>
                </c:pt>
                <c:pt idx="12">
                  <c:v>Q1 2012</c:v>
                </c:pt>
                <c:pt idx="13">
                  <c:v>Q2 2012</c:v>
                </c:pt>
                <c:pt idx="14">
                  <c:v>Q3 2012</c:v>
                </c:pt>
                <c:pt idx="15">
                  <c:v>Q4 2012</c:v>
                </c:pt>
                <c:pt idx="16">
                  <c:v>Q1 2013</c:v>
                </c:pt>
                <c:pt idx="17">
                  <c:v>Q2 2013</c:v>
                </c:pt>
                <c:pt idx="18">
                  <c:v>Q3 2013</c:v>
                </c:pt>
                <c:pt idx="19">
                  <c:v>Q4 2013</c:v>
                </c:pt>
              </c:strCache>
            </c:strRef>
          </c:cat>
          <c:val>
            <c:numRef>
              <c:f>'ComputingPlatform (2)'!$C$33:$V$33</c:f>
              <c:numCache>
                <c:formatCode>0%</c:formatCode>
                <c:ptCount val="20"/>
                <c:pt idx="0">
                  <c:v>0.0056385929490635</c:v>
                </c:pt>
                <c:pt idx="1">
                  <c:v>0.00689054166275452</c:v>
                </c:pt>
                <c:pt idx="2">
                  <c:v>0.0115472949681314</c:v>
                </c:pt>
                <c:pt idx="3">
                  <c:v>0.0281570953350236</c:v>
                </c:pt>
                <c:pt idx="4">
                  <c:v>0.0376972390595053</c:v>
                </c:pt>
                <c:pt idx="5">
                  <c:v>0.0726294592400485</c:v>
                </c:pt>
                <c:pt idx="6">
                  <c:v>0.117624687382081</c:v>
                </c:pt>
                <c:pt idx="7">
                  <c:v>0.160630311487532</c:v>
                </c:pt>
                <c:pt idx="8">
                  <c:v>0.195703564253906</c:v>
                </c:pt>
                <c:pt idx="9">
                  <c:v>0.2378261331005</c:v>
                </c:pt>
                <c:pt idx="10">
                  <c:v>0.285631973255554</c:v>
                </c:pt>
                <c:pt idx="11">
                  <c:v>0.296641476451328</c:v>
                </c:pt>
                <c:pt idx="12">
                  <c:v>0.328597680920279</c:v>
                </c:pt>
                <c:pt idx="13">
                  <c:v>0.389062990691749</c:v>
                </c:pt>
                <c:pt idx="14">
                  <c:v>0.4538737281942</c:v>
                </c:pt>
                <c:pt idx="15">
                  <c:v>0.464955489338832</c:v>
                </c:pt>
                <c:pt idx="16">
                  <c:v>0.532494736245367</c:v>
                </c:pt>
                <c:pt idx="17">
                  <c:v>0.59488842657635</c:v>
                </c:pt>
                <c:pt idx="18">
                  <c:v>0.61124535935528</c:v>
                </c:pt>
                <c:pt idx="19">
                  <c:v>0.593976143581118</c:v>
                </c:pt>
              </c:numCache>
            </c:numRef>
          </c:val>
        </c:ser>
        <c:ser>
          <c:idx val="3"/>
          <c:order val="1"/>
          <c:tx>
            <c:strRef>
              <c:f>'ComputingPlatform (2)'!$B$36</c:f>
              <c:strCache>
                <c:ptCount val="1"/>
                <c:pt idx="0">
                  <c:v>Windows</c:v>
                </c:pt>
              </c:strCache>
            </c:strRef>
          </c:tx>
          <c:spPr>
            <a:solidFill>
              <a:schemeClr val="accent6"/>
            </a:solidFill>
          </c:spPr>
          <c:dLbls>
            <c:dLbl>
              <c:idx val="0"/>
              <c:layout>
                <c:manualLayout>
                  <c:x val="0.00769633120848718"/>
                  <c:y val="-0.0325484879607441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 b="1" i="0" baseline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'ComputingPlatform (2)'!$C$32:$V$32</c:f>
              <c:strCache>
                <c:ptCount val="20"/>
                <c:pt idx="0">
                  <c:v>Q1 2009</c:v>
                </c:pt>
                <c:pt idx="1">
                  <c:v>Q2 2009</c:v>
                </c:pt>
                <c:pt idx="2">
                  <c:v>Q3 2009</c:v>
                </c:pt>
                <c:pt idx="3">
                  <c:v>Q4 2009</c:v>
                </c:pt>
                <c:pt idx="4">
                  <c:v>Q1 2010</c:v>
                </c:pt>
                <c:pt idx="5">
                  <c:v>Q2 2010</c:v>
                </c:pt>
                <c:pt idx="6">
                  <c:v>Q3 2010</c:v>
                </c:pt>
                <c:pt idx="7">
                  <c:v>Q4 2010</c:v>
                </c:pt>
                <c:pt idx="8">
                  <c:v>Q1 2011</c:v>
                </c:pt>
                <c:pt idx="9">
                  <c:v>Q2 2011</c:v>
                </c:pt>
                <c:pt idx="10">
                  <c:v>Q3 2011</c:v>
                </c:pt>
                <c:pt idx="11">
                  <c:v>Q4 2011</c:v>
                </c:pt>
                <c:pt idx="12">
                  <c:v>Q1 2012</c:v>
                </c:pt>
                <c:pt idx="13">
                  <c:v>Q2 2012</c:v>
                </c:pt>
                <c:pt idx="14">
                  <c:v>Q3 2012</c:v>
                </c:pt>
                <c:pt idx="15">
                  <c:v>Q4 2012</c:v>
                </c:pt>
                <c:pt idx="16">
                  <c:v>Q1 2013</c:v>
                </c:pt>
                <c:pt idx="17">
                  <c:v>Q2 2013</c:v>
                </c:pt>
                <c:pt idx="18">
                  <c:v>Q3 2013</c:v>
                </c:pt>
                <c:pt idx="19">
                  <c:v>Q4 2013</c:v>
                </c:pt>
              </c:strCache>
            </c:strRef>
          </c:cat>
          <c:val>
            <c:numRef>
              <c:f>'ComputingPlatform (2)'!$C$36:$V$36</c:f>
              <c:numCache>
                <c:formatCode>0%</c:formatCode>
                <c:ptCount val="20"/>
                <c:pt idx="0">
                  <c:v>0.685664859990787</c:v>
                </c:pt>
                <c:pt idx="1">
                  <c:v>0.660533030206625</c:v>
                </c:pt>
                <c:pt idx="2">
                  <c:v>0.691556309072733</c:v>
                </c:pt>
                <c:pt idx="3">
                  <c:v>0.657160009559914</c:v>
                </c:pt>
                <c:pt idx="4">
                  <c:v>0.633887582016568</c:v>
                </c:pt>
                <c:pt idx="5">
                  <c:v>0.579939014814047</c:v>
                </c:pt>
                <c:pt idx="6">
                  <c:v>0.518608830646626</c:v>
                </c:pt>
                <c:pt idx="7">
                  <c:v>0.470169641875945</c:v>
                </c:pt>
                <c:pt idx="8">
                  <c:v>0.454278125595504</c:v>
                </c:pt>
                <c:pt idx="9">
                  <c:v>0.419396735313733</c:v>
                </c:pt>
                <c:pt idx="10">
                  <c:v>0.419112789612376</c:v>
                </c:pt>
                <c:pt idx="11">
                  <c:v>0.351662151099608</c:v>
                </c:pt>
                <c:pt idx="12">
                  <c:v>0.35620704848686</c:v>
                </c:pt>
                <c:pt idx="13">
                  <c:v>0.339651166205162</c:v>
                </c:pt>
                <c:pt idx="14">
                  <c:v>0.315085193534069</c:v>
                </c:pt>
                <c:pt idx="15">
                  <c:v>0.275899078702773</c:v>
                </c:pt>
                <c:pt idx="16">
                  <c:v>0.25075155151711</c:v>
                </c:pt>
                <c:pt idx="17">
                  <c:v>0.238032823870602</c:v>
                </c:pt>
                <c:pt idx="18">
                  <c:v>0.235776136754833</c:v>
                </c:pt>
                <c:pt idx="19">
                  <c:v>0.205590103348308</c:v>
                </c:pt>
              </c:numCache>
            </c:numRef>
          </c:val>
        </c:ser>
        <c:ser>
          <c:idx val="1"/>
          <c:order val="2"/>
          <c:tx>
            <c:strRef>
              <c:f>'ComputingPlatform (2)'!$B$34</c:f>
              <c:strCache>
                <c:ptCount val="1"/>
                <c:pt idx="0">
                  <c:v>iOS</c:v>
                </c:pt>
              </c:strCache>
            </c:strRef>
          </c:tx>
          <c:spPr>
            <a:solidFill>
              <a:schemeClr val="accent4"/>
            </a:solidFill>
          </c:spPr>
          <c:dLbls>
            <c:dLbl>
              <c:idx val="0"/>
              <c:layout>
                <c:manualLayout>
                  <c:x val="-0.0830317600554736"/>
                  <c:y val="0.024521465251626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000000"/>
                        </a:solidFill>
                      </a:rPr>
                      <a:t>Apple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 b="1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'ComputingPlatform (2)'!$C$32:$V$32</c:f>
              <c:strCache>
                <c:ptCount val="20"/>
                <c:pt idx="0">
                  <c:v>Q1 2009</c:v>
                </c:pt>
                <c:pt idx="1">
                  <c:v>Q2 2009</c:v>
                </c:pt>
                <c:pt idx="2">
                  <c:v>Q3 2009</c:v>
                </c:pt>
                <c:pt idx="3">
                  <c:v>Q4 2009</c:v>
                </c:pt>
                <c:pt idx="4">
                  <c:v>Q1 2010</c:v>
                </c:pt>
                <c:pt idx="5">
                  <c:v>Q2 2010</c:v>
                </c:pt>
                <c:pt idx="6">
                  <c:v>Q3 2010</c:v>
                </c:pt>
                <c:pt idx="7">
                  <c:v>Q4 2010</c:v>
                </c:pt>
                <c:pt idx="8">
                  <c:v>Q1 2011</c:v>
                </c:pt>
                <c:pt idx="9">
                  <c:v>Q2 2011</c:v>
                </c:pt>
                <c:pt idx="10">
                  <c:v>Q3 2011</c:v>
                </c:pt>
                <c:pt idx="11">
                  <c:v>Q4 2011</c:v>
                </c:pt>
                <c:pt idx="12">
                  <c:v>Q1 2012</c:v>
                </c:pt>
                <c:pt idx="13">
                  <c:v>Q2 2012</c:v>
                </c:pt>
                <c:pt idx="14">
                  <c:v>Q3 2012</c:v>
                </c:pt>
                <c:pt idx="15">
                  <c:v>Q4 2012</c:v>
                </c:pt>
                <c:pt idx="16">
                  <c:v>Q1 2013</c:v>
                </c:pt>
                <c:pt idx="17">
                  <c:v>Q2 2013</c:v>
                </c:pt>
                <c:pt idx="18">
                  <c:v>Q3 2013</c:v>
                </c:pt>
                <c:pt idx="19">
                  <c:v>Q4 2013</c:v>
                </c:pt>
              </c:strCache>
            </c:strRef>
          </c:cat>
          <c:val>
            <c:numRef>
              <c:f>'ComputingPlatform (2)'!$C$34:$V$34</c:f>
              <c:numCache>
                <c:formatCode>0%</c:formatCode>
                <c:ptCount val="20"/>
                <c:pt idx="0">
                  <c:v>0.0601505454331611</c:v>
                </c:pt>
                <c:pt idx="1">
                  <c:v>0.071293724493191</c:v>
                </c:pt>
                <c:pt idx="2">
                  <c:v>0.0811512600392867</c:v>
                </c:pt>
                <c:pt idx="3">
                  <c:v>0.0781742988696427</c:v>
                </c:pt>
                <c:pt idx="4">
                  <c:v>0.0790930860457152</c:v>
                </c:pt>
                <c:pt idx="5">
                  <c:v>0.0964074392230056</c:v>
                </c:pt>
                <c:pt idx="6">
                  <c:v>0.121607426021883</c:v>
                </c:pt>
                <c:pt idx="7">
                  <c:v>0.131176485450896</c:v>
                </c:pt>
                <c:pt idx="8">
                  <c:v>0.132857303201417</c:v>
                </c:pt>
                <c:pt idx="9">
                  <c:v>0.155948005731153</c:v>
                </c:pt>
                <c:pt idx="10">
                  <c:v>0.141959403631096</c:v>
                </c:pt>
                <c:pt idx="11">
                  <c:v>0.202682328336267</c:v>
                </c:pt>
                <c:pt idx="12">
                  <c:v>0.198681274333656</c:v>
                </c:pt>
                <c:pt idx="13">
                  <c:v>0.185956467663181</c:v>
                </c:pt>
                <c:pt idx="14">
                  <c:v>0.15678963263531</c:v>
                </c:pt>
                <c:pt idx="15">
                  <c:v>0.201318764028592</c:v>
                </c:pt>
                <c:pt idx="16">
                  <c:v>0.181364404516604</c:v>
                </c:pt>
                <c:pt idx="17">
                  <c:v>0.138368204116818</c:v>
                </c:pt>
                <c:pt idx="18">
                  <c:v>0.131886865538591</c:v>
                </c:pt>
                <c:pt idx="19">
                  <c:v>0.18058291101423</c:v>
                </c:pt>
              </c:numCache>
            </c:numRef>
          </c:val>
        </c:ser>
        <c:ser>
          <c:idx val="2"/>
          <c:order val="3"/>
          <c:tx>
            <c:strRef>
              <c:f>'ComputingPlatform (2)'!$B$35</c:f>
              <c:strCache>
                <c:ptCount val="1"/>
                <c:pt idx="0">
                  <c:v>Blackberry</c:v>
                </c:pt>
              </c:strCache>
            </c:strRef>
          </c:tx>
          <c:spPr>
            <a:solidFill>
              <a:schemeClr val="accent1"/>
            </a:solidFill>
          </c:spPr>
          <c:dLbls>
            <c:dLbl>
              <c:idx val="0"/>
              <c:layout>
                <c:manualLayout>
                  <c:x val="-0.137187036913189"/>
                  <c:y val="0.044781102362204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000000"/>
                        </a:solidFill>
                      </a:rPr>
                      <a:t>BlackBerry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 b="1" i="0" baseline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'ComputingPlatform (2)'!$C$32:$V$32</c:f>
              <c:strCache>
                <c:ptCount val="20"/>
                <c:pt idx="0">
                  <c:v>Q1 2009</c:v>
                </c:pt>
                <c:pt idx="1">
                  <c:v>Q2 2009</c:v>
                </c:pt>
                <c:pt idx="2">
                  <c:v>Q3 2009</c:v>
                </c:pt>
                <c:pt idx="3">
                  <c:v>Q4 2009</c:v>
                </c:pt>
                <c:pt idx="4">
                  <c:v>Q1 2010</c:v>
                </c:pt>
                <c:pt idx="5">
                  <c:v>Q2 2010</c:v>
                </c:pt>
                <c:pt idx="6">
                  <c:v>Q3 2010</c:v>
                </c:pt>
                <c:pt idx="7">
                  <c:v>Q4 2010</c:v>
                </c:pt>
                <c:pt idx="8">
                  <c:v>Q1 2011</c:v>
                </c:pt>
                <c:pt idx="9">
                  <c:v>Q2 2011</c:v>
                </c:pt>
                <c:pt idx="10">
                  <c:v>Q3 2011</c:v>
                </c:pt>
                <c:pt idx="11">
                  <c:v>Q4 2011</c:v>
                </c:pt>
                <c:pt idx="12">
                  <c:v>Q1 2012</c:v>
                </c:pt>
                <c:pt idx="13">
                  <c:v>Q2 2012</c:v>
                </c:pt>
                <c:pt idx="14">
                  <c:v>Q3 2012</c:v>
                </c:pt>
                <c:pt idx="15">
                  <c:v>Q4 2012</c:v>
                </c:pt>
                <c:pt idx="16">
                  <c:v>Q1 2013</c:v>
                </c:pt>
                <c:pt idx="17">
                  <c:v>Q2 2013</c:v>
                </c:pt>
                <c:pt idx="18">
                  <c:v>Q3 2013</c:v>
                </c:pt>
                <c:pt idx="19">
                  <c:v>Q4 2013</c:v>
                </c:pt>
              </c:strCache>
            </c:strRef>
          </c:cat>
          <c:val>
            <c:numRef>
              <c:f>'ComputingPlatform (2)'!$C$35:$V$35</c:f>
              <c:numCache>
                <c:formatCode>0%</c:formatCode>
                <c:ptCount val="20"/>
                <c:pt idx="0">
                  <c:v>0.0738378304207627</c:v>
                </c:pt>
                <c:pt idx="1">
                  <c:v>0.0709400361527824</c:v>
                </c:pt>
                <c:pt idx="2">
                  <c:v>0.0672815361428508</c:v>
                </c:pt>
                <c:pt idx="3">
                  <c:v>0.070345725105434</c:v>
                </c:pt>
                <c:pt idx="4">
                  <c:v>0.0757320265803401</c:v>
                </c:pt>
                <c:pt idx="5">
                  <c:v>0.0756507615285968</c:v>
                </c:pt>
                <c:pt idx="6">
                  <c:v>0.0689429721625258</c:v>
                </c:pt>
                <c:pt idx="7">
                  <c:v>0.0691633036314692</c:v>
                </c:pt>
                <c:pt idx="8">
                  <c:v>0.0682408246097907</c:v>
                </c:pt>
                <c:pt idx="9">
                  <c:v>0.0646206423845138</c:v>
                </c:pt>
                <c:pt idx="10">
                  <c:v>0.0567001687967334</c:v>
                </c:pt>
                <c:pt idx="11">
                  <c:v>0.0510178615627749</c:v>
                </c:pt>
                <c:pt idx="12">
                  <c:v>0.045527691167287</c:v>
                </c:pt>
                <c:pt idx="13">
                  <c:v>0.0307339957932545</c:v>
                </c:pt>
                <c:pt idx="14">
                  <c:v>0.0311184694802306</c:v>
                </c:pt>
                <c:pt idx="15">
                  <c:v>0.0213479917024509</c:v>
                </c:pt>
                <c:pt idx="16">
                  <c:v>0.0193137445991114</c:v>
                </c:pt>
                <c:pt idx="17">
                  <c:v>0.0181944089688364</c:v>
                </c:pt>
                <c:pt idx="18">
                  <c:v>0.00903065592588197</c:v>
                </c:pt>
                <c:pt idx="19">
                  <c:v>0.00414942350676079</c:v>
                </c:pt>
              </c:numCache>
            </c:numRef>
          </c:val>
        </c:ser>
        <c:ser>
          <c:idx val="4"/>
          <c:order val="4"/>
          <c:tx>
            <c:strRef>
              <c:f>'ComputingPlatform (2)'!$B$37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3"/>
            </a:solidFill>
          </c:spPr>
          <c:dLbls>
            <c:dLbl>
              <c:idx val="0"/>
              <c:layout>
                <c:manualLayout>
                  <c:x val="-0.182497368874934"/>
                  <c:y val="0.0266377268058884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 b="1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'ComputingPlatform (2)'!$C$32:$V$32</c:f>
              <c:strCache>
                <c:ptCount val="20"/>
                <c:pt idx="0">
                  <c:v>Q1 2009</c:v>
                </c:pt>
                <c:pt idx="1">
                  <c:v>Q2 2009</c:v>
                </c:pt>
                <c:pt idx="2">
                  <c:v>Q3 2009</c:v>
                </c:pt>
                <c:pt idx="3">
                  <c:v>Q4 2009</c:v>
                </c:pt>
                <c:pt idx="4">
                  <c:v>Q1 2010</c:v>
                </c:pt>
                <c:pt idx="5">
                  <c:v>Q2 2010</c:v>
                </c:pt>
                <c:pt idx="6">
                  <c:v>Q3 2010</c:v>
                </c:pt>
                <c:pt idx="7">
                  <c:v>Q4 2010</c:v>
                </c:pt>
                <c:pt idx="8">
                  <c:v>Q1 2011</c:v>
                </c:pt>
                <c:pt idx="9">
                  <c:v>Q2 2011</c:v>
                </c:pt>
                <c:pt idx="10">
                  <c:v>Q3 2011</c:v>
                </c:pt>
                <c:pt idx="11">
                  <c:v>Q4 2011</c:v>
                </c:pt>
                <c:pt idx="12">
                  <c:v>Q1 2012</c:v>
                </c:pt>
                <c:pt idx="13">
                  <c:v>Q2 2012</c:v>
                </c:pt>
                <c:pt idx="14">
                  <c:v>Q3 2012</c:v>
                </c:pt>
                <c:pt idx="15">
                  <c:v>Q4 2012</c:v>
                </c:pt>
                <c:pt idx="16">
                  <c:v>Q1 2013</c:v>
                </c:pt>
                <c:pt idx="17">
                  <c:v>Q2 2013</c:v>
                </c:pt>
                <c:pt idx="18">
                  <c:v>Q3 2013</c:v>
                </c:pt>
                <c:pt idx="19">
                  <c:v>Q4 2013</c:v>
                </c:pt>
              </c:strCache>
            </c:strRef>
          </c:cat>
          <c:val>
            <c:numRef>
              <c:f>'ComputingPlatform (2)'!$C$37:$V$37</c:f>
              <c:numCache>
                <c:formatCode>0%</c:formatCode>
                <c:ptCount val="20"/>
                <c:pt idx="0">
                  <c:v>0.174708171206226</c:v>
                </c:pt>
                <c:pt idx="1">
                  <c:v>0.190342667484647</c:v>
                </c:pt>
                <c:pt idx="2">
                  <c:v>0.148463599776998</c:v>
                </c:pt>
                <c:pt idx="3">
                  <c:v>0.166162871129985</c:v>
                </c:pt>
                <c:pt idx="4">
                  <c:v>0.173590066297872</c:v>
                </c:pt>
                <c:pt idx="5">
                  <c:v>0.175373325194302</c:v>
                </c:pt>
                <c:pt idx="6">
                  <c:v>0.173216083786884</c:v>
                </c:pt>
                <c:pt idx="7">
                  <c:v>0.168860257554158</c:v>
                </c:pt>
                <c:pt idx="8">
                  <c:v>0.148920182339382</c:v>
                </c:pt>
                <c:pt idx="9">
                  <c:v>0.1222084834701</c:v>
                </c:pt>
                <c:pt idx="10">
                  <c:v>0.0965956647042412</c:v>
                </c:pt>
                <c:pt idx="11">
                  <c:v>0.0979961825500214</c:v>
                </c:pt>
                <c:pt idx="12">
                  <c:v>0.0709863050919184</c:v>
                </c:pt>
                <c:pt idx="13">
                  <c:v>0.0545953796466538</c:v>
                </c:pt>
                <c:pt idx="14">
                  <c:v>0.04313297615619</c:v>
                </c:pt>
                <c:pt idx="15">
                  <c:v>0.0364786762273522</c:v>
                </c:pt>
                <c:pt idx="16">
                  <c:v>0.0160755631218074</c:v>
                </c:pt>
                <c:pt idx="17">
                  <c:v>0.0105161364673936</c:v>
                </c:pt>
                <c:pt idx="18">
                  <c:v>0.0120609824254145</c:v>
                </c:pt>
                <c:pt idx="19">
                  <c:v>0.0157014185495828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1566216"/>
        <c:axId val="2091572280"/>
      </c:areaChart>
      <c:catAx>
        <c:axId val="2091566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 i="1">
                    <a:solidFill>
                      <a:srgbClr val="000000"/>
                    </a:solidFill>
                  </a:defRPr>
                </a:pPr>
                <a:r>
                  <a:rPr lang="en-US" sz="1800" b="0" i="1">
                    <a:solidFill>
                      <a:srgbClr val="000000"/>
                    </a:solidFill>
                  </a:rPr>
                  <a:t>Source: Gartner, IDC, Stategy</a:t>
                </a:r>
                <a:r>
                  <a:rPr lang="en-US" sz="1800" b="0" i="1" baseline="0">
                    <a:solidFill>
                      <a:srgbClr val="000000"/>
                    </a:solidFill>
                  </a:rPr>
                  <a:t> Analytics, Company Filings, BI Intelligence Estimates</a:t>
                </a:r>
                <a:endParaRPr lang="en-US" sz="1800" b="0" i="1">
                  <a:solidFill>
                    <a:srgbClr val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000598733569518775"/>
              <c:y val="0.982174688057041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1572280"/>
        <c:crosses val="autoZero"/>
        <c:auto val="1"/>
        <c:lblAlgn val="ctr"/>
        <c:lblOffset val="100"/>
        <c:noMultiLvlLbl val="0"/>
      </c:catAx>
      <c:valAx>
        <c:axId val="20915722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1566216"/>
        <c:crosses val="autoZero"/>
        <c:crossBetween val="midCat"/>
      </c:valAx>
    </c:plotArea>
    <c:plotVisOnly val="1"/>
    <c:dispBlanksAs val="zero"/>
    <c:showDLblsOverMax val="0"/>
  </c:chart>
  <c:spPr>
    <a:solidFill>
      <a:srgbClr val="FFFFFF"/>
    </a:solidFill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DevelopersMainPlatform!$A$1:$A$7</c:f>
              <c:strCache>
                <c:ptCount val="7"/>
                <c:pt idx="0">
                  <c:v>Developers' Main Platform</c:v>
                </c:pt>
                <c:pt idx="1">
                  <c:v>Android </c:v>
                </c:pt>
                <c:pt idx="2">
                  <c:v>iOS</c:v>
                </c:pt>
                <c:pt idx="3">
                  <c:v>HTML5</c:v>
                </c:pt>
                <c:pt idx="4">
                  <c:v>BlackBerry 10</c:v>
                </c:pt>
                <c:pt idx="5">
                  <c:v>Windows Phone</c:v>
                </c:pt>
                <c:pt idx="6">
                  <c:v>Other</c:v>
                </c:pt>
              </c:strCache>
            </c:strRef>
          </c:cat>
          <c:val>
            <c:numRef>
              <c:f>DevelopersMainPlatform!$B$1:$B$7</c:f>
              <c:numCache>
                <c:formatCode>General</c:formatCode>
                <c:ptCount val="7"/>
                <c:pt idx="1">
                  <c:v>0.34</c:v>
                </c:pt>
                <c:pt idx="2">
                  <c:v>0.33</c:v>
                </c:pt>
                <c:pt idx="3">
                  <c:v>0.17</c:v>
                </c:pt>
                <c:pt idx="4">
                  <c:v>0.04</c:v>
                </c:pt>
                <c:pt idx="5">
                  <c:v>0.05</c:v>
                </c:pt>
                <c:pt idx="6">
                  <c:v>0.07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400">
                <a:solidFill>
                  <a:srgbClr val="000000"/>
                </a:solidFill>
              </a:defRPr>
            </a:pPr>
            <a:r>
              <a:rPr lang="en-US" sz="4400">
                <a:solidFill>
                  <a:srgbClr val="000000"/>
                </a:solidFill>
              </a:rPr>
              <a:t>Android Platform Distribution,</a:t>
            </a:r>
            <a:r>
              <a:rPr lang="en-US" sz="4400" baseline="0">
                <a:solidFill>
                  <a:srgbClr val="000000"/>
                </a:solidFill>
              </a:rPr>
              <a:t> February 2014</a:t>
            </a:r>
            <a:endParaRPr lang="en-US" sz="4400">
              <a:solidFill>
                <a:srgbClr val="000000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460115362996"/>
          <c:y val="0.172076493347403"/>
          <c:w val="0.575827017105773"/>
          <c:h val="0.718948946425669"/>
        </c:manualLayout>
      </c:layout>
      <c:pieChart>
        <c:varyColors val="0"/>
        <c:ser>
          <c:idx val="0"/>
          <c:order val="0"/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</c:spPr>
          </c:dPt>
          <c:dLbls>
            <c:dLbl>
              <c:idx val="0"/>
              <c:layout>
                <c:manualLayout>
                  <c:x val="0.0605448933669964"/>
                  <c:y val="0.007126325528673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032646344550487"/>
                  <c:y val="0.02654491255403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delete val="1"/>
            </c:dLbl>
            <c:dLbl>
              <c:idx val="3"/>
              <c:layout>
                <c:manualLayout>
                  <c:x val="0.0284213028737829"/>
                  <c:y val="-0.05009082052430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58944788772932"/>
                  <c:y val="-0.1402996510835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0027836677231441"/>
                  <c:y val="0.0022530544969828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000000"/>
                        </a:solidFill>
                      </a:rPr>
                      <a:t>KitKat
2%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0220891775693591"/>
                  <c:y val="-0.005905820461020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0.0937164907284975"/>
                  <c:y val="0.02364316291886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2000" b="1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rgbClr val="000000"/>
                  </a:solidFill>
                </a:ln>
              </c:spPr>
            </c:leaderLines>
          </c:dLbls>
          <c:cat>
            <c:strRef>
              <c:f>'Android OS frag'!$A$21:$A$25</c:f>
              <c:strCache>
                <c:ptCount val="5"/>
                <c:pt idx="0">
                  <c:v>Froyo</c:v>
                </c:pt>
                <c:pt idx="1">
                  <c:v>Gingerbread</c:v>
                </c:pt>
                <c:pt idx="2">
                  <c:v>Honeycomb</c:v>
                </c:pt>
                <c:pt idx="3">
                  <c:v>Ice Cream Sandwich</c:v>
                </c:pt>
                <c:pt idx="4">
                  <c:v>Jelly Bean</c:v>
                </c:pt>
              </c:strCache>
            </c:strRef>
          </c:cat>
          <c:val>
            <c:numRef>
              <c:f>'Android OS frag'!$G$21:$G$26</c:f>
              <c:numCache>
                <c:formatCode>0%</c:formatCode>
                <c:ptCount val="6"/>
                <c:pt idx="0">
                  <c:v>0.013</c:v>
                </c:pt>
                <c:pt idx="1">
                  <c:v>0.2</c:v>
                </c:pt>
                <c:pt idx="2">
                  <c:v>0.001</c:v>
                </c:pt>
                <c:pt idx="3">
                  <c:v>0.161</c:v>
                </c:pt>
                <c:pt idx="4">
                  <c:v>0.607</c:v>
                </c:pt>
                <c:pt idx="5">
                  <c:v>0.018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3200"/>
              <a:t>Wearable Device Market Size Forecast </a:t>
            </a:r>
          </a:p>
        </c:rich>
      </c:tx>
      <c:layout>
        <c:manualLayout>
          <c:xMode val="edge"/>
          <c:yMode val="edge"/>
          <c:x val="0.289215543293063"/>
          <c:y val="0.0205198358413133"/>
        </c:manualLayout>
      </c:layout>
      <c:overlay val="0"/>
    </c:title>
    <c:autoTitleDeleted val="0"/>
    <c:plotArea>
      <c:layout/>
      <c:areaChart>
        <c:grouping val="standard"/>
        <c:varyColors val="0"/>
        <c:ser>
          <c:idx val="1"/>
          <c:order val="0"/>
          <c:tx>
            <c:strRef>
              <c:f>'BII Market Size Forecast'!$A$2</c:f>
              <c:strCache>
                <c:ptCount val="1"/>
                <c:pt idx="0">
                  <c:v>Market Size $</c:v>
                </c:pt>
              </c:strCache>
            </c:strRef>
          </c:tx>
          <c:spPr>
            <a:solidFill>
              <a:schemeClr val="accent6"/>
            </a:solidFill>
          </c:spPr>
          <c:cat>
            <c:numRef>
              <c:f>'BII Market Size Forecast'!$B$1:$J$1</c:f>
              <c:numCache>
                <c:formatCode>General</c:formatCode>
                <c:ptCount val="9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  <c:pt idx="7">
                  <c:v>2017.0</c:v>
                </c:pt>
                <c:pt idx="8">
                  <c:v>2018.0</c:v>
                </c:pt>
              </c:numCache>
            </c:numRef>
          </c:cat>
          <c:val>
            <c:numRef>
              <c:f>'BII Market Size Forecast'!$B$2:$J$2</c:f>
              <c:numCache>
                <c:formatCode>_("$"* #,##0.00_);_("$"* \(#,##0.00\);_("$"* "-"??_);_(@_)</c:formatCode>
                <c:ptCount val="9"/>
                <c:pt idx="0">
                  <c:v>6.3</c:v>
                </c:pt>
                <c:pt idx="1">
                  <c:v>630.0</c:v>
                </c:pt>
                <c:pt idx="2">
                  <c:v>1260.0</c:v>
                </c:pt>
                <c:pt idx="3">
                  <c:v>2520.0</c:v>
                </c:pt>
                <c:pt idx="4">
                  <c:v>5166.0</c:v>
                </c:pt>
                <c:pt idx="5">
                  <c:v>7140.0</c:v>
                </c:pt>
                <c:pt idx="6">
                  <c:v>8862.0</c:v>
                </c:pt>
                <c:pt idx="7">
                  <c:v>10920.0</c:v>
                </c:pt>
                <c:pt idx="8">
                  <c:v>12642.0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0383544"/>
        <c:axId val="2070389512"/>
      </c:areaChart>
      <c:catAx>
        <c:axId val="2070383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600" b="0" i="1"/>
                  <a:t>Source: BI</a:t>
                </a:r>
                <a:r>
                  <a:rPr lang="en-US" sz="1600" b="0" i="1" baseline="0"/>
                  <a:t> Intelligence estimates, ABI Research, IMS, Juniper, *Assumes 42$ average selling price for wearable devices </a:t>
                </a:r>
                <a:r>
                  <a:rPr lang="en-US" sz="1600" b="0" i="1"/>
                  <a:t>  </a:t>
                </a:r>
              </a:p>
            </c:rich>
          </c:tx>
          <c:layout>
            <c:manualLayout>
              <c:xMode val="edge"/>
              <c:yMode val="edge"/>
              <c:x val="0.0016182750085892"/>
              <c:y val="0.96552667578659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2070389512"/>
        <c:crosses val="autoZero"/>
        <c:auto val="1"/>
        <c:lblAlgn val="ctr"/>
        <c:lblOffset val="100"/>
        <c:noMultiLvlLbl val="0"/>
      </c:catAx>
      <c:valAx>
        <c:axId val="20703895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800"/>
                  <a:t>(Millions) </a:t>
                </a:r>
              </a:p>
            </c:rich>
          </c:tx>
          <c:overlay val="0"/>
        </c:title>
        <c:numFmt formatCode="_(&quot;$&quot;* #,##0_);_(&quot;$&quot;* \(#,##0\);_(&quot;$&quot;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20703835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>
                <a:solidFill>
                  <a:srgbClr val="000000"/>
                </a:solidFill>
              </a:defRPr>
            </a:pPr>
            <a:r>
              <a:rPr lang="en-US" sz="4000">
                <a:solidFill>
                  <a:srgbClr val="000000"/>
                </a:solidFill>
              </a:rPr>
              <a:t>U.S. Smartphone Market Share</a:t>
            </a:r>
          </a:p>
          <a:p>
            <a:pPr>
              <a:defRPr>
                <a:solidFill>
                  <a:srgbClr val="000000"/>
                </a:solidFill>
              </a:defRPr>
            </a:pPr>
            <a:r>
              <a:rPr lang="en-US" sz="2400" b="0" i="1">
                <a:solidFill>
                  <a:srgbClr val="000000"/>
                </a:solidFill>
              </a:rPr>
              <a:t>By</a:t>
            </a:r>
            <a:r>
              <a:rPr lang="en-US" sz="2400" b="0" i="1" baseline="0">
                <a:solidFill>
                  <a:srgbClr val="000000"/>
                </a:solidFill>
              </a:rPr>
              <a:t> Platform</a:t>
            </a:r>
            <a:endParaRPr lang="en-US" sz="2400" b="0" i="1">
              <a:solidFill>
                <a:srgbClr val="000000"/>
              </a:solidFill>
            </a:endParaRPr>
          </a:p>
        </c:rich>
      </c:tx>
      <c:overlay val="0"/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USSmartphoneMarketShare!$B$4</c:f>
              <c:strCache>
                <c:ptCount val="1"/>
                <c:pt idx="0">
                  <c:v>Android</c:v>
                </c:pt>
              </c:strCache>
            </c:strRef>
          </c:tx>
          <c:spPr>
            <a:solidFill>
              <a:schemeClr val="accent2"/>
            </a:solidFill>
          </c:spPr>
          <c:dLbls>
            <c:dLbl>
              <c:idx val="0"/>
              <c:layout>
                <c:manualLayout>
                  <c:x val="0.0837043633125556"/>
                  <c:y val="-0.0486936802139637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4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USSmartphoneMarketShare!$C$3:$AX$3</c:f>
              <c:strCache>
                <c:ptCount val="48"/>
                <c:pt idx="0">
                  <c:v>Jan 10</c:v>
                </c:pt>
                <c:pt idx="1">
                  <c:v>Feb 10</c:v>
                </c:pt>
                <c:pt idx="2">
                  <c:v>Mar 10</c:v>
                </c:pt>
                <c:pt idx="3">
                  <c:v>Apr 10</c:v>
                </c:pt>
                <c:pt idx="4">
                  <c:v>May 10</c:v>
                </c:pt>
                <c:pt idx="5">
                  <c:v>Jun 10</c:v>
                </c:pt>
                <c:pt idx="6">
                  <c:v>Jul 10</c:v>
                </c:pt>
                <c:pt idx="7">
                  <c:v>Aug 10</c:v>
                </c:pt>
                <c:pt idx="8">
                  <c:v>Sep 10</c:v>
                </c:pt>
                <c:pt idx="9">
                  <c:v>Oct 10</c:v>
                </c:pt>
                <c:pt idx="10">
                  <c:v>Nov 10</c:v>
                </c:pt>
                <c:pt idx="11">
                  <c:v>Dec 10</c:v>
                </c:pt>
                <c:pt idx="12">
                  <c:v>Jan 11</c:v>
                </c:pt>
                <c:pt idx="13">
                  <c:v>Feb 11</c:v>
                </c:pt>
                <c:pt idx="14">
                  <c:v>Mar 11</c:v>
                </c:pt>
                <c:pt idx="15">
                  <c:v>Apr 11</c:v>
                </c:pt>
                <c:pt idx="16">
                  <c:v>May 11</c:v>
                </c:pt>
                <c:pt idx="17">
                  <c:v>Jun 11</c:v>
                </c:pt>
                <c:pt idx="18">
                  <c:v>Jul 11</c:v>
                </c:pt>
                <c:pt idx="19">
                  <c:v>Aug 11</c:v>
                </c:pt>
                <c:pt idx="20">
                  <c:v>Sep 11</c:v>
                </c:pt>
                <c:pt idx="21">
                  <c:v>Oct 11</c:v>
                </c:pt>
                <c:pt idx="22">
                  <c:v>Nov 11</c:v>
                </c:pt>
                <c:pt idx="23">
                  <c:v>Dec 11</c:v>
                </c:pt>
                <c:pt idx="24">
                  <c:v>Jan 12</c:v>
                </c:pt>
                <c:pt idx="25">
                  <c:v>Feb 12</c:v>
                </c:pt>
                <c:pt idx="26">
                  <c:v>Mar 12</c:v>
                </c:pt>
                <c:pt idx="27">
                  <c:v>Apr 12</c:v>
                </c:pt>
                <c:pt idx="28">
                  <c:v>May 12</c:v>
                </c:pt>
                <c:pt idx="29">
                  <c:v>Jun 12</c:v>
                </c:pt>
                <c:pt idx="30">
                  <c:v>Jul 12</c:v>
                </c:pt>
                <c:pt idx="31">
                  <c:v>Aug 12</c:v>
                </c:pt>
                <c:pt idx="32">
                  <c:v>Sep 12</c:v>
                </c:pt>
                <c:pt idx="33">
                  <c:v>Oct 12</c:v>
                </c:pt>
                <c:pt idx="34">
                  <c:v>Nov 12</c:v>
                </c:pt>
                <c:pt idx="35">
                  <c:v>Dec 12</c:v>
                </c:pt>
                <c:pt idx="36">
                  <c:v>Jan 13</c:v>
                </c:pt>
                <c:pt idx="37">
                  <c:v>Feb 13</c:v>
                </c:pt>
                <c:pt idx="38">
                  <c:v>Mar 13</c:v>
                </c:pt>
                <c:pt idx="39">
                  <c:v>Apr 13</c:v>
                </c:pt>
                <c:pt idx="40">
                  <c:v>May 13</c:v>
                </c:pt>
                <c:pt idx="41">
                  <c:v>Jun 13</c:v>
                </c:pt>
                <c:pt idx="42">
                  <c:v>Jul 13</c:v>
                </c:pt>
                <c:pt idx="43">
                  <c:v>Aug 13</c:v>
                </c:pt>
                <c:pt idx="44">
                  <c:v>Sep 13</c:v>
                </c:pt>
                <c:pt idx="45">
                  <c:v>Oct 13</c:v>
                </c:pt>
                <c:pt idx="46">
                  <c:v>Nov 13</c:v>
                </c:pt>
                <c:pt idx="47">
                  <c:v>Dec 13</c:v>
                </c:pt>
              </c:strCache>
            </c:strRef>
          </c:cat>
          <c:val>
            <c:numRef>
              <c:f>USSmartphoneMarketShare!$C$4:$AX$4</c:f>
              <c:numCache>
                <c:formatCode>0%</c:formatCode>
                <c:ptCount val="48"/>
                <c:pt idx="0">
                  <c:v>0.071</c:v>
                </c:pt>
                <c:pt idx="1">
                  <c:v>0.09</c:v>
                </c:pt>
                <c:pt idx="2">
                  <c:v>0.09</c:v>
                </c:pt>
                <c:pt idx="3">
                  <c:v>0.12</c:v>
                </c:pt>
                <c:pt idx="4">
                  <c:v>0.13</c:v>
                </c:pt>
                <c:pt idx="5">
                  <c:v>0.149</c:v>
                </c:pt>
                <c:pt idx="6">
                  <c:v>0.17</c:v>
                </c:pt>
                <c:pt idx="7">
                  <c:v>0.196</c:v>
                </c:pt>
                <c:pt idx="8">
                  <c:v>0.214</c:v>
                </c:pt>
                <c:pt idx="9">
                  <c:v>0.235</c:v>
                </c:pt>
                <c:pt idx="10">
                  <c:v>0.26</c:v>
                </c:pt>
                <c:pt idx="11">
                  <c:v>0.287</c:v>
                </c:pt>
                <c:pt idx="12">
                  <c:v>0.312</c:v>
                </c:pt>
                <c:pt idx="13">
                  <c:v>0.33</c:v>
                </c:pt>
                <c:pt idx="14">
                  <c:v>0.347</c:v>
                </c:pt>
                <c:pt idx="15">
                  <c:v>0.364</c:v>
                </c:pt>
                <c:pt idx="16">
                  <c:v>0.381</c:v>
                </c:pt>
                <c:pt idx="17">
                  <c:v>0.401</c:v>
                </c:pt>
                <c:pt idx="18">
                  <c:v>0.418</c:v>
                </c:pt>
                <c:pt idx="19">
                  <c:v>0.437</c:v>
                </c:pt>
                <c:pt idx="20">
                  <c:v>0.448</c:v>
                </c:pt>
                <c:pt idx="21">
                  <c:v>0.463</c:v>
                </c:pt>
                <c:pt idx="22">
                  <c:v>0.469</c:v>
                </c:pt>
                <c:pt idx="23">
                  <c:v>0.473</c:v>
                </c:pt>
                <c:pt idx="24">
                  <c:v>0.486</c:v>
                </c:pt>
                <c:pt idx="25">
                  <c:v>0.501</c:v>
                </c:pt>
                <c:pt idx="26">
                  <c:v>0.51</c:v>
                </c:pt>
                <c:pt idx="27">
                  <c:v>0.508</c:v>
                </c:pt>
                <c:pt idx="28">
                  <c:v>0.509</c:v>
                </c:pt>
                <c:pt idx="29">
                  <c:v>0.516</c:v>
                </c:pt>
                <c:pt idx="30">
                  <c:v>0.522</c:v>
                </c:pt>
                <c:pt idx="31">
                  <c:v>0.526</c:v>
                </c:pt>
                <c:pt idx="32">
                  <c:v>0.525</c:v>
                </c:pt>
                <c:pt idx="33" formatCode="0.0%">
                  <c:v>0.536</c:v>
                </c:pt>
                <c:pt idx="34" formatCode="0.0%">
                  <c:v>0.537</c:v>
                </c:pt>
                <c:pt idx="35" formatCode="0.0%">
                  <c:v>0.534</c:v>
                </c:pt>
                <c:pt idx="36" formatCode="0.0%">
                  <c:v>0.523</c:v>
                </c:pt>
                <c:pt idx="37" formatCode="0.0%">
                  <c:v>0.517</c:v>
                </c:pt>
                <c:pt idx="38" formatCode="0.0%">
                  <c:v>0.52</c:v>
                </c:pt>
                <c:pt idx="39" formatCode="0.0%">
                  <c:v>0.52</c:v>
                </c:pt>
                <c:pt idx="40" formatCode="0.0%">
                  <c:v>0.524</c:v>
                </c:pt>
                <c:pt idx="41" formatCode="0.0%">
                  <c:v>0.52</c:v>
                </c:pt>
                <c:pt idx="42" formatCode="0.0%">
                  <c:v>0.518</c:v>
                </c:pt>
                <c:pt idx="43" formatCode="0.0%">
                  <c:v>0.516</c:v>
                </c:pt>
                <c:pt idx="44" formatCode="0.0%">
                  <c:v>0.518</c:v>
                </c:pt>
                <c:pt idx="45" formatCode="0.0%">
                  <c:v>0.522</c:v>
                </c:pt>
                <c:pt idx="46" formatCode="0.0%">
                  <c:v>0.519</c:v>
                </c:pt>
                <c:pt idx="47" formatCode="0.0%">
                  <c:v>0.515</c:v>
                </c:pt>
              </c:numCache>
            </c:numRef>
          </c:val>
        </c:ser>
        <c:ser>
          <c:idx val="1"/>
          <c:order val="1"/>
          <c:tx>
            <c:strRef>
              <c:f>USSmartphoneMarketShare!$B$5</c:f>
              <c:strCache>
                <c:ptCount val="1"/>
                <c:pt idx="0">
                  <c:v>Apple</c:v>
                </c:pt>
              </c:strCache>
            </c:strRef>
          </c:tx>
          <c:spPr>
            <a:solidFill>
              <a:schemeClr val="accent4"/>
            </a:solidFill>
          </c:spPr>
          <c:dLbls>
            <c:dLbl>
              <c:idx val="0"/>
              <c:layout>
                <c:manualLayout>
                  <c:x val="-0.0703472840605521"/>
                  <c:y val="0.043942992874109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4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USSmartphoneMarketShare!$C$3:$AX$3</c:f>
              <c:strCache>
                <c:ptCount val="48"/>
                <c:pt idx="0">
                  <c:v>Jan 10</c:v>
                </c:pt>
                <c:pt idx="1">
                  <c:v>Feb 10</c:v>
                </c:pt>
                <c:pt idx="2">
                  <c:v>Mar 10</c:v>
                </c:pt>
                <c:pt idx="3">
                  <c:v>Apr 10</c:v>
                </c:pt>
                <c:pt idx="4">
                  <c:v>May 10</c:v>
                </c:pt>
                <c:pt idx="5">
                  <c:v>Jun 10</c:v>
                </c:pt>
                <c:pt idx="6">
                  <c:v>Jul 10</c:v>
                </c:pt>
                <c:pt idx="7">
                  <c:v>Aug 10</c:v>
                </c:pt>
                <c:pt idx="8">
                  <c:v>Sep 10</c:v>
                </c:pt>
                <c:pt idx="9">
                  <c:v>Oct 10</c:v>
                </c:pt>
                <c:pt idx="10">
                  <c:v>Nov 10</c:v>
                </c:pt>
                <c:pt idx="11">
                  <c:v>Dec 10</c:v>
                </c:pt>
                <c:pt idx="12">
                  <c:v>Jan 11</c:v>
                </c:pt>
                <c:pt idx="13">
                  <c:v>Feb 11</c:v>
                </c:pt>
                <c:pt idx="14">
                  <c:v>Mar 11</c:v>
                </c:pt>
                <c:pt idx="15">
                  <c:v>Apr 11</c:v>
                </c:pt>
                <c:pt idx="16">
                  <c:v>May 11</c:v>
                </c:pt>
                <c:pt idx="17">
                  <c:v>Jun 11</c:v>
                </c:pt>
                <c:pt idx="18">
                  <c:v>Jul 11</c:v>
                </c:pt>
                <c:pt idx="19">
                  <c:v>Aug 11</c:v>
                </c:pt>
                <c:pt idx="20">
                  <c:v>Sep 11</c:v>
                </c:pt>
                <c:pt idx="21">
                  <c:v>Oct 11</c:v>
                </c:pt>
                <c:pt idx="22">
                  <c:v>Nov 11</c:v>
                </c:pt>
                <c:pt idx="23">
                  <c:v>Dec 11</c:v>
                </c:pt>
                <c:pt idx="24">
                  <c:v>Jan 12</c:v>
                </c:pt>
                <c:pt idx="25">
                  <c:v>Feb 12</c:v>
                </c:pt>
                <c:pt idx="26">
                  <c:v>Mar 12</c:v>
                </c:pt>
                <c:pt idx="27">
                  <c:v>Apr 12</c:v>
                </c:pt>
                <c:pt idx="28">
                  <c:v>May 12</c:v>
                </c:pt>
                <c:pt idx="29">
                  <c:v>Jun 12</c:v>
                </c:pt>
                <c:pt idx="30">
                  <c:v>Jul 12</c:v>
                </c:pt>
                <c:pt idx="31">
                  <c:v>Aug 12</c:v>
                </c:pt>
                <c:pt idx="32">
                  <c:v>Sep 12</c:v>
                </c:pt>
                <c:pt idx="33">
                  <c:v>Oct 12</c:v>
                </c:pt>
                <c:pt idx="34">
                  <c:v>Nov 12</c:v>
                </c:pt>
                <c:pt idx="35">
                  <c:v>Dec 12</c:v>
                </c:pt>
                <c:pt idx="36">
                  <c:v>Jan 13</c:v>
                </c:pt>
                <c:pt idx="37">
                  <c:v>Feb 13</c:v>
                </c:pt>
                <c:pt idx="38">
                  <c:v>Mar 13</c:v>
                </c:pt>
                <c:pt idx="39">
                  <c:v>Apr 13</c:v>
                </c:pt>
                <c:pt idx="40">
                  <c:v>May 13</c:v>
                </c:pt>
                <c:pt idx="41">
                  <c:v>Jun 13</c:v>
                </c:pt>
                <c:pt idx="42">
                  <c:v>Jul 13</c:v>
                </c:pt>
                <c:pt idx="43">
                  <c:v>Aug 13</c:v>
                </c:pt>
                <c:pt idx="44">
                  <c:v>Sep 13</c:v>
                </c:pt>
                <c:pt idx="45">
                  <c:v>Oct 13</c:v>
                </c:pt>
                <c:pt idx="46">
                  <c:v>Nov 13</c:v>
                </c:pt>
                <c:pt idx="47">
                  <c:v>Dec 13</c:v>
                </c:pt>
              </c:strCache>
            </c:strRef>
          </c:cat>
          <c:val>
            <c:numRef>
              <c:f>USSmartphoneMarketShare!$C$5:$AX$5</c:f>
              <c:numCache>
                <c:formatCode>0%</c:formatCode>
                <c:ptCount val="48"/>
                <c:pt idx="0">
                  <c:v>0.251</c:v>
                </c:pt>
                <c:pt idx="1">
                  <c:v>0.254</c:v>
                </c:pt>
                <c:pt idx="2">
                  <c:v>0.254</c:v>
                </c:pt>
                <c:pt idx="3">
                  <c:v>0.251</c:v>
                </c:pt>
                <c:pt idx="4">
                  <c:v>0.244</c:v>
                </c:pt>
                <c:pt idx="5">
                  <c:v>0.243</c:v>
                </c:pt>
                <c:pt idx="6">
                  <c:v>0.238</c:v>
                </c:pt>
                <c:pt idx="7">
                  <c:v>0.242</c:v>
                </c:pt>
                <c:pt idx="8">
                  <c:v>0.243</c:v>
                </c:pt>
                <c:pt idx="9">
                  <c:v>0.246</c:v>
                </c:pt>
                <c:pt idx="10">
                  <c:v>0.25</c:v>
                </c:pt>
                <c:pt idx="11">
                  <c:v>0.25</c:v>
                </c:pt>
                <c:pt idx="12">
                  <c:v>0.247</c:v>
                </c:pt>
                <c:pt idx="13">
                  <c:v>0.252</c:v>
                </c:pt>
                <c:pt idx="14">
                  <c:v>0.255</c:v>
                </c:pt>
                <c:pt idx="15">
                  <c:v>0.26</c:v>
                </c:pt>
                <c:pt idx="16">
                  <c:v>0.266</c:v>
                </c:pt>
                <c:pt idx="17">
                  <c:v>0.266</c:v>
                </c:pt>
                <c:pt idx="18">
                  <c:v>0.27</c:v>
                </c:pt>
                <c:pt idx="19">
                  <c:v>0.273</c:v>
                </c:pt>
                <c:pt idx="20">
                  <c:v>0.274</c:v>
                </c:pt>
                <c:pt idx="21">
                  <c:v>0.281</c:v>
                </c:pt>
                <c:pt idx="22">
                  <c:v>0.287</c:v>
                </c:pt>
                <c:pt idx="23">
                  <c:v>0.296</c:v>
                </c:pt>
                <c:pt idx="24">
                  <c:v>0.295</c:v>
                </c:pt>
                <c:pt idx="25">
                  <c:v>0.302</c:v>
                </c:pt>
                <c:pt idx="26">
                  <c:v>0.307</c:v>
                </c:pt>
                <c:pt idx="27">
                  <c:v>0.314</c:v>
                </c:pt>
                <c:pt idx="28">
                  <c:v>0.319</c:v>
                </c:pt>
                <c:pt idx="29">
                  <c:v>0.324</c:v>
                </c:pt>
                <c:pt idx="30">
                  <c:v>0.334</c:v>
                </c:pt>
                <c:pt idx="31">
                  <c:v>0.343</c:v>
                </c:pt>
                <c:pt idx="32">
                  <c:v>0.343</c:v>
                </c:pt>
                <c:pt idx="33">
                  <c:v>0.343</c:v>
                </c:pt>
                <c:pt idx="34">
                  <c:v>0.35</c:v>
                </c:pt>
                <c:pt idx="35">
                  <c:v>0.363</c:v>
                </c:pt>
                <c:pt idx="36">
                  <c:v>0.378</c:v>
                </c:pt>
                <c:pt idx="37">
                  <c:v>0.389</c:v>
                </c:pt>
                <c:pt idx="38">
                  <c:v>0.39</c:v>
                </c:pt>
                <c:pt idx="39">
                  <c:v>0.392</c:v>
                </c:pt>
                <c:pt idx="40">
                  <c:v>0.392</c:v>
                </c:pt>
                <c:pt idx="41">
                  <c:v>0.399</c:v>
                </c:pt>
                <c:pt idx="42">
                  <c:v>0.404</c:v>
                </c:pt>
                <c:pt idx="43">
                  <c:v>0.407</c:v>
                </c:pt>
                <c:pt idx="44" formatCode="0.0%">
                  <c:v>0.406</c:v>
                </c:pt>
                <c:pt idx="45" formatCode="0.0%">
                  <c:v>0.406</c:v>
                </c:pt>
                <c:pt idx="46" formatCode="0.0%">
                  <c:v>0.412</c:v>
                </c:pt>
                <c:pt idx="47" formatCode="0.0%">
                  <c:v>0.418</c:v>
                </c:pt>
              </c:numCache>
            </c:numRef>
          </c:val>
        </c:ser>
        <c:ser>
          <c:idx val="2"/>
          <c:order val="2"/>
          <c:tx>
            <c:strRef>
              <c:f>USSmartphoneMarketShare!$B$6</c:f>
              <c:strCache>
                <c:ptCount val="1"/>
                <c:pt idx="0">
                  <c:v>BlackBerry</c:v>
                </c:pt>
              </c:strCache>
            </c:strRef>
          </c:tx>
          <c:spPr>
            <a:solidFill>
              <a:schemeClr val="accent1"/>
            </a:solidFill>
          </c:spPr>
          <c:dLbls>
            <c:dLbl>
              <c:idx val="0"/>
              <c:layout>
                <c:manualLayout>
                  <c:x val="-0.185218165627783"/>
                  <c:y val="0.0665083135391924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4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USSmartphoneMarketShare!$C$3:$AX$3</c:f>
              <c:strCache>
                <c:ptCount val="48"/>
                <c:pt idx="0">
                  <c:v>Jan 10</c:v>
                </c:pt>
                <c:pt idx="1">
                  <c:v>Feb 10</c:v>
                </c:pt>
                <c:pt idx="2">
                  <c:v>Mar 10</c:v>
                </c:pt>
                <c:pt idx="3">
                  <c:v>Apr 10</c:v>
                </c:pt>
                <c:pt idx="4">
                  <c:v>May 10</c:v>
                </c:pt>
                <c:pt idx="5">
                  <c:v>Jun 10</c:v>
                </c:pt>
                <c:pt idx="6">
                  <c:v>Jul 10</c:v>
                </c:pt>
                <c:pt idx="7">
                  <c:v>Aug 10</c:v>
                </c:pt>
                <c:pt idx="8">
                  <c:v>Sep 10</c:v>
                </c:pt>
                <c:pt idx="9">
                  <c:v>Oct 10</c:v>
                </c:pt>
                <c:pt idx="10">
                  <c:v>Nov 10</c:v>
                </c:pt>
                <c:pt idx="11">
                  <c:v>Dec 10</c:v>
                </c:pt>
                <c:pt idx="12">
                  <c:v>Jan 11</c:v>
                </c:pt>
                <c:pt idx="13">
                  <c:v>Feb 11</c:v>
                </c:pt>
                <c:pt idx="14">
                  <c:v>Mar 11</c:v>
                </c:pt>
                <c:pt idx="15">
                  <c:v>Apr 11</c:v>
                </c:pt>
                <c:pt idx="16">
                  <c:v>May 11</c:v>
                </c:pt>
                <c:pt idx="17">
                  <c:v>Jun 11</c:v>
                </c:pt>
                <c:pt idx="18">
                  <c:v>Jul 11</c:v>
                </c:pt>
                <c:pt idx="19">
                  <c:v>Aug 11</c:v>
                </c:pt>
                <c:pt idx="20">
                  <c:v>Sep 11</c:v>
                </c:pt>
                <c:pt idx="21">
                  <c:v>Oct 11</c:v>
                </c:pt>
                <c:pt idx="22">
                  <c:v>Nov 11</c:v>
                </c:pt>
                <c:pt idx="23">
                  <c:v>Dec 11</c:v>
                </c:pt>
                <c:pt idx="24">
                  <c:v>Jan 12</c:v>
                </c:pt>
                <c:pt idx="25">
                  <c:v>Feb 12</c:v>
                </c:pt>
                <c:pt idx="26">
                  <c:v>Mar 12</c:v>
                </c:pt>
                <c:pt idx="27">
                  <c:v>Apr 12</c:v>
                </c:pt>
                <c:pt idx="28">
                  <c:v>May 12</c:v>
                </c:pt>
                <c:pt idx="29">
                  <c:v>Jun 12</c:v>
                </c:pt>
                <c:pt idx="30">
                  <c:v>Jul 12</c:v>
                </c:pt>
                <c:pt idx="31">
                  <c:v>Aug 12</c:v>
                </c:pt>
                <c:pt idx="32">
                  <c:v>Sep 12</c:v>
                </c:pt>
                <c:pt idx="33">
                  <c:v>Oct 12</c:v>
                </c:pt>
                <c:pt idx="34">
                  <c:v>Nov 12</c:v>
                </c:pt>
                <c:pt idx="35">
                  <c:v>Dec 12</c:v>
                </c:pt>
                <c:pt idx="36">
                  <c:v>Jan 13</c:v>
                </c:pt>
                <c:pt idx="37">
                  <c:v>Feb 13</c:v>
                </c:pt>
                <c:pt idx="38">
                  <c:v>Mar 13</c:v>
                </c:pt>
                <c:pt idx="39">
                  <c:v>Apr 13</c:v>
                </c:pt>
                <c:pt idx="40">
                  <c:v>May 13</c:v>
                </c:pt>
                <c:pt idx="41">
                  <c:v>Jun 13</c:v>
                </c:pt>
                <c:pt idx="42">
                  <c:v>Jul 13</c:v>
                </c:pt>
                <c:pt idx="43">
                  <c:v>Aug 13</c:v>
                </c:pt>
                <c:pt idx="44">
                  <c:v>Sep 13</c:v>
                </c:pt>
                <c:pt idx="45">
                  <c:v>Oct 13</c:v>
                </c:pt>
                <c:pt idx="46">
                  <c:v>Nov 13</c:v>
                </c:pt>
                <c:pt idx="47">
                  <c:v>Dec 13</c:v>
                </c:pt>
              </c:strCache>
            </c:strRef>
          </c:cat>
          <c:val>
            <c:numRef>
              <c:f>USSmartphoneMarketShare!$C$6:$AX$6</c:f>
              <c:numCache>
                <c:formatCode>0%</c:formatCode>
                <c:ptCount val="48"/>
                <c:pt idx="0">
                  <c:v>0.43</c:v>
                </c:pt>
                <c:pt idx="1">
                  <c:v>0.421</c:v>
                </c:pt>
                <c:pt idx="2">
                  <c:v>0.421</c:v>
                </c:pt>
                <c:pt idx="3">
                  <c:v>0.411</c:v>
                </c:pt>
                <c:pt idx="4">
                  <c:v>0.417</c:v>
                </c:pt>
                <c:pt idx="5">
                  <c:v>0.401</c:v>
                </c:pt>
                <c:pt idx="6">
                  <c:v>0.393</c:v>
                </c:pt>
                <c:pt idx="7">
                  <c:v>0.376</c:v>
                </c:pt>
                <c:pt idx="8">
                  <c:v>0.373</c:v>
                </c:pt>
                <c:pt idx="9">
                  <c:v>0.358</c:v>
                </c:pt>
                <c:pt idx="10">
                  <c:v>0.335</c:v>
                </c:pt>
                <c:pt idx="11">
                  <c:v>0.316</c:v>
                </c:pt>
                <c:pt idx="12">
                  <c:v>0.304</c:v>
                </c:pt>
                <c:pt idx="13">
                  <c:v>0.289</c:v>
                </c:pt>
                <c:pt idx="14">
                  <c:v>0.271</c:v>
                </c:pt>
                <c:pt idx="15">
                  <c:v>0.257</c:v>
                </c:pt>
                <c:pt idx="16">
                  <c:v>0.247</c:v>
                </c:pt>
                <c:pt idx="17">
                  <c:v>0.234</c:v>
                </c:pt>
                <c:pt idx="18">
                  <c:v>0.217</c:v>
                </c:pt>
                <c:pt idx="19">
                  <c:v>0.197</c:v>
                </c:pt>
                <c:pt idx="20">
                  <c:v>0.189</c:v>
                </c:pt>
                <c:pt idx="21">
                  <c:v>0.172</c:v>
                </c:pt>
                <c:pt idx="22">
                  <c:v>0.166</c:v>
                </c:pt>
                <c:pt idx="23">
                  <c:v>0.16</c:v>
                </c:pt>
                <c:pt idx="24">
                  <c:v>0.152</c:v>
                </c:pt>
                <c:pt idx="25">
                  <c:v>0.134</c:v>
                </c:pt>
                <c:pt idx="26">
                  <c:v>0.123</c:v>
                </c:pt>
                <c:pt idx="27">
                  <c:v>0.116</c:v>
                </c:pt>
                <c:pt idx="28">
                  <c:v>0.114</c:v>
                </c:pt>
                <c:pt idx="29">
                  <c:v>0.107</c:v>
                </c:pt>
                <c:pt idx="30">
                  <c:v>0.095</c:v>
                </c:pt>
                <c:pt idx="31">
                  <c:v>0.083</c:v>
                </c:pt>
                <c:pt idx="32">
                  <c:v>0.084</c:v>
                </c:pt>
                <c:pt idx="33">
                  <c:v>0.078</c:v>
                </c:pt>
                <c:pt idx="34">
                  <c:v>0.073</c:v>
                </c:pt>
                <c:pt idx="35">
                  <c:v>0.064</c:v>
                </c:pt>
                <c:pt idx="36">
                  <c:v>0.059</c:v>
                </c:pt>
                <c:pt idx="37">
                  <c:v>0.054</c:v>
                </c:pt>
                <c:pt idx="38">
                  <c:v>0.052</c:v>
                </c:pt>
                <c:pt idx="39">
                  <c:v>0.051</c:v>
                </c:pt>
                <c:pt idx="40">
                  <c:v>0.048</c:v>
                </c:pt>
                <c:pt idx="41">
                  <c:v>0.044</c:v>
                </c:pt>
                <c:pt idx="42">
                  <c:v>0.043</c:v>
                </c:pt>
                <c:pt idx="43">
                  <c:v>0.04</c:v>
                </c:pt>
                <c:pt idx="44" formatCode="0.0%">
                  <c:v>0.038</c:v>
                </c:pt>
                <c:pt idx="45" formatCode="0.0%">
                  <c:v>0.036</c:v>
                </c:pt>
                <c:pt idx="46" formatCode="0.0%">
                  <c:v>0.035</c:v>
                </c:pt>
                <c:pt idx="47" formatCode="0.0%">
                  <c:v>0.034</c:v>
                </c:pt>
              </c:numCache>
            </c:numRef>
          </c:val>
        </c:ser>
        <c:ser>
          <c:idx val="3"/>
          <c:order val="3"/>
          <c:tx>
            <c:strRef>
              <c:f>USSmartphoneMarketShare!$B$7</c:f>
              <c:strCache>
                <c:ptCount val="1"/>
                <c:pt idx="0">
                  <c:v>Microsoft</c:v>
                </c:pt>
              </c:strCache>
            </c:strRef>
          </c:tx>
          <c:spPr>
            <a:solidFill>
              <a:schemeClr val="accent6"/>
            </a:solidFill>
          </c:spPr>
          <c:dLbls>
            <c:dLbl>
              <c:idx val="0"/>
              <c:layout>
                <c:manualLayout>
                  <c:x val="-0.288512911843277"/>
                  <c:y val="0.0522564385508819"/>
                </c:manualLayout>
              </c:layout>
              <c:spPr/>
              <c:txPr>
                <a:bodyPr/>
                <a:lstStyle/>
                <a:p>
                  <a:pPr>
                    <a:defRPr sz="2400"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USSmartphoneMarketShare!$C$3:$AX$3</c:f>
              <c:strCache>
                <c:ptCount val="48"/>
                <c:pt idx="0">
                  <c:v>Jan 10</c:v>
                </c:pt>
                <c:pt idx="1">
                  <c:v>Feb 10</c:v>
                </c:pt>
                <c:pt idx="2">
                  <c:v>Mar 10</c:v>
                </c:pt>
                <c:pt idx="3">
                  <c:v>Apr 10</c:v>
                </c:pt>
                <c:pt idx="4">
                  <c:v>May 10</c:v>
                </c:pt>
                <c:pt idx="5">
                  <c:v>Jun 10</c:v>
                </c:pt>
                <c:pt idx="6">
                  <c:v>Jul 10</c:v>
                </c:pt>
                <c:pt idx="7">
                  <c:v>Aug 10</c:v>
                </c:pt>
                <c:pt idx="8">
                  <c:v>Sep 10</c:v>
                </c:pt>
                <c:pt idx="9">
                  <c:v>Oct 10</c:v>
                </c:pt>
                <c:pt idx="10">
                  <c:v>Nov 10</c:v>
                </c:pt>
                <c:pt idx="11">
                  <c:v>Dec 10</c:v>
                </c:pt>
                <c:pt idx="12">
                  <c:v>Jan 11</c:v>
                </c:pt>
                <c:pt idx="13">
                  <c:v>Feb 11</c:v>
                </c:pt>
                <c:pt idx="14">
                  <c:v>Mar 11</c:v>
                </c:pt>
                <c:pt idx="15">
                  <c:v>Apr 11</c:v>
                </c:pt>
                <c:pt idx="16">
                  <c:v>May 11</c:v>
                </c:pt>
                <c:pt idx="17">
                  <c:v>Jun 11</c:v>
                </c:pt>
                <c:pt idx="18">
                  <c:v>Jul 11</c:v>
                </c:pt>
                <c:pt idx="19">
                  <c:v>Aug 11</c:v>
                </c:pt>
                <c:pt idx="20">
                  <c:v>Sep 11</c:v>
                </c:pt>
                <c:pt idx="21">
                  <c:v>Oct 11</c:v>
                </c:pt>
                <c:pt idx="22">
                  <c:v>Nov 11</c:v>
                </c:pt>
                <c:pt idx="23">
                  <c:v>Dec 11</c:v>
                </c:pt>
                <c:pt idx="24">
                  <c:v>Jan 12</c:v>
                </c:pt>
                <c:pt idx="25">
                  <c:v>Feb 12</c:v>
                </c:pt>
                <c:pt idx="26">
                  <c:v>Mar 12</c:v>
                </c:pt>
                <c:pt idx="27">
                  <c:v>Apr 12</c:v>
                </c:pt>
                <c:pt idx="28">
                  <c:v>May 12</c:v>
                </c:pt>
                <c:pt idx="29">
                  <c:v>Jun 12</c:v>
                </c:pt>
                <c:pt idx="30">
                  <c:v>Jul 12</c:v>
                </c:pt>
                <c:pt idx="31">
                  <c:v>Aug 12</c:v>
                </c:pt>
                <c:pt idx="32">
                  <c:v>Sep 12</c:v>
                </c:pt>
                <c:pt idx="33">
                  <c:v>Oct 12</c:v>
                </c:pt>
                <c:pt idx="34">
                  <c:v>Nov 12</c:v>
                </c:pt>
                <c:pt idx="35">
                  <c:v>Dec 12</c:v>
                </c:pt>
                <c:pt idx="36">
                  <c:v>Jan 13</c:v>
                </c:pt>
                <c:pt idx="37">
                  <c:v>Feb 13</c:v>
                </c:pt>
                <c:pt idx="38">
                  <c:v>Mar 13</c:v>
                </c:pt>
                <c:pt idx="39">
                  <c:v>Apr 13</c:v>
                </c:pt>
                <c:pt idx="40">
                  <c:v>May 13</c:v>
                </c:pt>
                <c:pt idx="41">
                  <c:v>Jun 13</c:v>
                </c:pt>
                <c:pt idx="42">
                  <c:v>Jul 13</c:v>
                </c:pt>
                <c:pt idx="43">
                  <c:v>Aug 13</c:v>
                </c:pt>
                <c:pt idx="44">
                  <c:v>Sep 13</c:v>
                </c:pt>
                <c:pt idx="45">
                  <c:v>Oct 13</c:v>
                </c:pt>
                <c:pt idx="46">
                  <c:v>Nov 13</c:v>
                </c:pt>
                <c:pt idx="47">
                  <c:v>Dec 13</c:v>
                </c:pt>
              </c:strCache>
            </c:strRef>
          </c:cat>
          <c:val>
            <c:numRef>
              <c:f>USSmartphoneMarketShare!$C$7:$AX$7</c:f>
              <c:numCache>
                <c:formatCode>0%</c:formatCode>
                <c:ptCount val="48"/>
                <c:pt idx="0">
                  <c:v>0.157</c:v>
                </c:pt>
                <c:pt idx="1">
                  <c:v>0.151</c:v>
                </c:pt>
                <c:pt idx="2">
                  <c:v>0.151</c:v>
                </c:pt>
                <c:pt idx="3">
                  <c:v>0.14</c:v>
                </c:pt>
                <c:pt idx="4">
                  <c:v>0.132</c:v>
                </c:pt>
                <c:pt idx="5">
                  <c:v>0.128</c:v>
                </c:pt>
                <c:pt idx="6">
                  <c:v>0.118</c:v>
                </c:pt>
                <c:pt idx="7">
                  <c:v>0.108</c:v>
                </c:pt>
                <c:pt idx="8">
                  <c:v>0.1</c:v>
                </c:pt>
                <c:pt idx="9">
                  <c:v>0.097</c:v>
                </c:pt>
                <c:pt idx="10">
                  <c:v>0.09</c:v>
                </c:pt>
                <c:pt idx="11">
                  <c:v>0.084</c:v>
                </c:pt>
                <c:pt idx="12">
                  <c:v>0.08</c:v>
                </c:pt>
                <c:pt idx="13">
                  <c:v>0.077</c:v>
                </c:pt>
                <c:pt idx="14">
                  <c:v>0.075</c:v>
                </c:pt>
                <c:pt idx="15">
                  <c:v>0.067</c:v>
                </c:pt>
                <c:pt idx="16">
                  <c:v>0.058</c:v>
                </c:pt>
                <c:pt idx="17">
                  <c:v>0.058</c:v>
                </c:pt>
                <c:pt idx="18">
                  <c:v>0.057</c:v>
                </c:pt>
                <c:pt idx="19">
                  <c:v>0.057</c:v>
                </c:pt>
                <c:pt idx="20">
                  <c:v>0.056</c:v>
                </c:pt>
                <c:pt idx="21">
                  <c:v>0.054</c:v>
                </c:pt>
                <c:pt idx="22">
                  <c:v>0.052</c:v>
                </c:pt>
                <c:pt idx="23">
                  <c:v>0.047</c:v>
                </c:pt>
                <c:pt idx="24">
                  <c:v>0.044</c:v>
                </c:pt>
                <c:pt idx="25">
                  <c:v>0.039</c:v>
                </c:pt>
                <c:pt idx="26">
                  <c:v>0.039</c:v>
                </c:pt>
                <c:pt idx="27">
                  <c:v>0.04</c:v>
                </c:pt>
                <c:pt idx="28">
                  <c:v>0.04</c:v>
                </c:pt>
                <c:pt idx="29">
                  <c:v>0.038</c:v>
                </c:pt>
                <c:pt idx="30">
                  <c:v>0.036</c:v>
                </c:pt>
                <c:pt idx="31">
                  <c:v>0.036</c:v>
                </c:pt>
                <c:pt idx="32">
                  <c:v>0.036</c:v>
                </c:pt>
                <c:pt idx="33" formatCode="0.0%">
                  <c:v>0.032</c:v>
                </c:pt>
                <c:pt idx="34" formatCode="0.0%">
                  <c:v>0.03</c:v>
                </c:pt>
                <c:pt idx="35" formatCode="0.0%">
                  <c:v>0.029</c:v>
                </c:pt>
                <c:pt idx="36" formatCode="0.0%">
                  <c:v>0.031</c:v>
                </c:pt>
                <c:pt idx="37" formatCode="0.0%">
                  <c:v>0.032</c:v>
                </c:pt>
                <c:pt idx="38" formatCode="0.0%">
                  <c:v>0.03</c:v>
                </c:pt>
                <c:pt idx="39" formatCode="0.0%">
                  <c:v>0.03</c:v>
                </c:pt>
                <c:pt idx="40">
                  <c:v>0.03</c:v>
                </c:pt>
                <c:pt idx="41">
                  <c:v>0.031</c:v>
                </c:pt>
                <c:pt idx="42">
                  <c:v>0.03</c:v>
                </c:pt>
                <c:pt idx="43">
                  <c:v>0.032</c:v>
                </c:pt>
                <c:pt idx="44" formatCode="0.0%">
                  <c:v>0.033</c:v>
                </c:pt>
                <c:pt idx="45" formatCode="0.0%">
                  <c:v>0.032</c:v>
                </c:pt>
                <c:pt idx="46" formatCode="0.0%">
                  <c:v>0.031</c:v>
                </c:pt>
                <c:pt idx="47" formatCode="0.0%">
                  <c:v>0.031</c:v>
                </c:pt>
              </c:numCache>
            </c:numRef>
          </c:val>
        </c:ser>
        <c:ser>
          <c:idx val="4"/>
          <c:order val="4"/>
          <c:tx>
            <c:strRef>
              <c:f>USSmartphoneMarketShare!$B$8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3"/>
            </a:solidFill>
          </c:spPr>
          <c:dLbls>
            <c:dLbl>
              <c:idx val="0"/>
              <c:layout>
                <c:manualLayout>
                  <c:x val="-0.362422083704363"/>
                  <c:y val="0.0190023752969121"/>
                </c:manualLayout>
              </c:layout>
              <c:spPr/>
              <c:txPr>
                <a:bodyPr/>
                <a:lstStyle/>
                <a:p>
                  <a:pPr>
                    <a:defRPr sz="2400"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USSmartphoneMarketShare!$C$3:$AX$3</c:f>
              <c:strCache>
                <c:ptCount val="48"/>
                <c:pt idx="0">
                  <c:v>Jan 10</c:v>
                </c:pt>
                <c:pt idx="1">
                  <c:v>Feb 10</c:v>
                </c:pt>
                <c:pt idx="2">
                  <c:v>Mar 10</c:v>
                </c:pt>
                <c:pt idx="3">
                  <c:v>Apr 10</c:v>
                </c:pt>
                <c:pt idx="4">
                  <c:v>May 10</c:v>
                </c:pt>
                <c:pt idx="5">
                  <c:v>Jun 10</c:v>
                </c:pt>
                <c:pt idx="6">
                  <c:v>Jul 10</c:v>
                </c:pt>
                <c:pt idx="7">
                  <c:v>Aug 10</c:v>
                </c:pt>
                <c:pt idx="8">
                  <c:v>Sep 10</c:v>
                </c:pt>
                <c:pt idx="9">
                  <c:v>Oct 10</c:v>
                </c:pt>
                <c:pt idx="10">
                  <c:v>Nov 10</c:v>
                </c:pt>
                <c:pt idx="11">
                  <c:v>Dec 10</c:v>
                </c:pt>
                <c:pt idx="12">
                  <c:v>Jan 11</c:v>
                </c:pt>
                <c:pt idx="13">
                  <c:v>Feb 11</c:v>
                </c:pt>
                <c:pt idx="14">
                  <c:v>Mar 11</c:v>
                </c:pt>
                <c:pt idx="15">
                  <c:v>Apr 11</c:v>
                </c:pt>
                <c:pt idx="16">
                  <c:v>May 11</c:v>
                </c:pt>
                <c:pt idx="17">
                  <c:v>Jun 11</c:v>
                </c:pt>
                <c:pt idx="18">
                  <c:v>Jul 11</c:v>
                </c:pt>
                <c:pt idx="19">
                  <c:v>Aug 11</c:v>
                </c:pt>
                <c:pt idx="20">
                  <c:v>Sep 11</c:v>
                </c:pt>
                <c:pt idx="21">
                  <c:v>Oct 11</c:v>
                </c:pt>
                <c:pt idx="22">
                  <c:v>Nov 11</c:v>
                </c:pt>
                <c:pt idx="23">
                  <c:v>Dec 11</c:v>
                </c:pt>
                <c:pt idx="24">
                  <c:v>Jan 12</c:v>
                </c:pt>
                <c:pt idx="25">
                  <c:v>Feb 12</c:v>
                </c:pt>
                <c:pt idx="26">
                  <c:v>Mar 12</c:v>
                </c:pt>
                <c:pt idx="27">
                  <c:v>Apr 12</c:v>
                </c:pt>
                <c:pt idx="28">
                  <c:v>May 12</c:v>
                </c:pt>
                <c:pt idx="29">
                  <c:v>Jun 12</c:v>
                </c:pt>
                <c:pt idx="30">
                  <c:v>Jul 12</c:v>
                </c:pt>
                <c:pt idx="31">
                  <c:v>Aug 12</c:v>
                </c:pt>
                <c:pt idx="32">
                  <c:v>Sep 12</c:v>
                </c:pt>
                <c:pt idx="33">
                  <c:v>Oct 12</c:v>
                </c:pt>
                <c:pt idx="34">
                  <c:v>Nov 12</c:v>
                </c:pt>
                <c:pt idx="35">
                  <c:v>Dec 12</c:v>
                </c:pt>
                <c:pt idx="36">
                  <c:v>Jan 13</c:v>
                </c:pt>
                <c:pt idx="37">
                  <c:v>Feb 13</c:v>
                </c:pt>
                <c:pt idx="38">
                  <c:v>Mar 13</c:v>
                </c:pt>
                <c:pt idx="39">
                  <c:v>Apr 13</c:v>
                </c:pt>
                <c:pt idx="40">
                  <c:v>May 13</c:v>
                </c:pt>
                <c:pt idx="41">
                  <c:v>Jun 13</c:v>
                </c:pt>
                <c:pt idx="42">
                  <c:v>Jul 13</c:v>
                </c:pt>
                <c:pt idx="43">
                  <c:v>Aug 13</c:v>
                </c:pt>
                <c:pt idx="44">
                  <c:v>Sep 13</c:v>
                </c:pt>
                <c:pt idx="45">
                  <c:v>Oct 13</c:v>
                </c:pt>
                <c:pt idx="46">
                  <c:v>Nov 13</c:v>
                </c:pt>
                <c:pt idx="47">
                  <c:v>Dec 13</c:v>
                </c:pt>
              </c:strCache>
            </c:strRef>
          </c:cat>
          <c:val>
            <c:numRef>
              <c:f>USSmartphoneMarketShare!$C$8:$AX$8</c:f>
              <c:numCache>
                <c:formatCode>0%</c:formatCode>
                <c:ptCount val="48"/>
                <c:pt idx="0">
                  <c:v>0.0909999999999999</c:v>
                </c:pt>
                <c:pt idx="1">
                  <c:v>0.0840000000000001</c:v>
                </c:pt>
                <c:pt idx="2">
                  <c:v>0.0839999999999999</c:v>
                </c:pt>
                <c:pt idx="3">
                  <c:v>0.0779999999999999</c:v>
                </c:pt>
                <c:pt idx="4">
                  <c:v>0.0770000000000001</c:v>
                </c:pt>
                <c:pt idx="5">
                  <c:v>0.079</c:v>
                </c:pt>
                <c:pt idx="6">
                  <c:v>0.0809999999999999</c:v>
                </c:pt>
                <c:pt idx="7">
                  <c:v>0.0779999999999999</c:v>
                </c:pt>
                <c:pt idx="8">
                  <c:v>0.0700000000000001</c:v>
                </c:pt>
                <c:pt idx="9">
                  <c:v>0.064</c:v>
                </c:pt>
                <c:pt idx="10">
                  <c:v>0.065</c:v>
                </c:pt>
                <c:pt idx="11">
                  <c:v>0.063</c:v>
                </c:pt>
                <c:pt idx="12">
                  <c:v>0.057</c:v>
                </c:pt>
                <c:pt idx="13">
                  <c:v>0.052</c:v>
                </c:pt>
                <c:pt idx="14">
                  <c:v>0.0519999999999999</c:v>
                </c:pt>
                <c:pt idx="15">
                  <c:v>0.052</c:v>
                </c:pt>
                <c:pt idx="16">
                  <c:v>0.0479999999999999</c:v>
                </c:pt>
                <c:pt idx="17">
                  <c:v>0.0409999999999999</c:v>
                </c:pt>
                <c:pt idx="18">
                  <c:v>0.038</c:v>
                </c:pt>
                <c:pt idx="19">
                  <c:v>0.0359999999999999</c:v>
                </c:pt>
                <c:pt idx="20">
                  <c:v>0.0330000000000001</c:v>
                </c:pt>
                <c:pt idx="21">
                  <c:v>0.03</c:v>
                </c:pt>
                <c:pt idx="22">
                  <c:v>0.0259999999999999</c:v>
                </c:pt>
                <c:pt idx="23">
                  <c:v>0.0239999999999999</c:v>
                </c:pt>
                <c:pt idx="24">
                  <c:v>0.023</c:v>
                </c:pt>
                <c:pt idx="25">
                  <c:v>0.024</c:v>
                </c:pt>
                <c:pt idx="26">
                  <c:v>0.021</c:v>
                </c:pt>
                <c:pt idx="27">
                  <c:v>0.0219999999999999</c:v>
                </c:pt>
                <c:pt idx="28">
                  <c:v>0.0179999999999999</c:v>
                </c:pt>
                <c:pt idx="29">
                  <c:v>0.0149999999999999</c:v>
                </c:pt>
                <c:pt idx="30">
                  <c:v>0.013</c:v>
                </c:pt>
                <c:pt idx="31">
                  <c:v>0.012</c:v>
                </c:pt>
                <c:pt idx="32">
                  <c:v>0.012</c:v>
                </c:pt>
                <c:pt idx="33">
                  <c:v>0.011</c:v>
                </c:pt>
                <c:pt idx="34">
                  <c:v>0.01</c:v>
                </c:pt>
                <c:pt idx="35">
                  <c:v>0.00999999999999989</c:v>
                </c:pt>
                <c:pt idx="36">
                  <c:v>0.00900000000000001</c:v>
                </c:pt>
                <c:pt idx="37">
                  <c:v>0.00799999999999989</c:v>
                </c:pt>
                <c:pt idx="38">
                  <c:v>0.00799999999999989</c:v>
                </c:pt>
                <c:pt idx="39">
                  <c:v>0.00699999999999989</c:v>
                </c:pt>
                <c:pt idx="40">
                  <c:v>0.00599999999999989</c:v>
                </c:pt>
                <c:pt idx="41">
                  <c:v>0.006</c:v>
                </c:pt>
                <c:pt idx="42">
                  <c:v>0.003</c:v>
                </c:pt>
                <c:pt idx="43">
                  <c:v>0.003</c:v>
                </c:pt>
                <c:pt idx="44" formatCode="0.0%">
                  <c:v>0.003</c:v>
                </c:pt>
                <c:pt idx="45" formatCode="0.0%">
                  <c:v>0.002</c:v>
                </c:pt>
                <c:pt idx="46" formatCode="0.0%">
                  <c:v>0.002</c:v>
                </c:pt>
                <c:pt idx="47" formatCode="0.0%">
                  <c:v>0.002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9359752"/>
        <c:axId val="2099365336"/>
      </c:areaChart>
      <c:catAx>
        <c:axId val="2099359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 i="1">
                    <a:solidFill>
                      <a:srgbClr val="000000"/>
                    </a:solidFill>
                  </a:defRPr>
                </a:pPr>
                <a:r>
                  <a:rPr lang="en-US" sz="1800" b="0" i="1">
                    <a:solidFill>
                      <a:srgbClr val="000000"/>
                    </a:solidFill>
                  </a:rPr>
                  <a:t>Source: comScore</a:t>
                </a:r>
              </a:p>
            </c:rich>
          </c:tx>
          <c:layout>
            <c:manualLayout>
              <c:xMode val="edge"/>
              <c:yMode val="edge"/>
              <c:x val="0.000782984273003272"/>
              <c:y val="0.977434679334917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9365336"/>
        <c:crosses val="autoZero"/>
        <c:auto val="1"/>
        <c:lblAlgn val="ctr"/>
        <c:lblOffset val="100"/>
        <c:noMultiLvlLbl val="0"/>
      </c:catAx>
      <c:valAx>
        <c:axId val="20993653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9359752"/>
        <c:crosses val="autoZero"/>
        <c:crossBetween val="midCat"/>
      </c:valAx>
    </c:plotArea>
    <c:plotVisOnly val="1"/>
    <c:dispBlanksAs val="zero"/>
    <c:showDLblsOverMax val="0"/>
  </c:chart>
  <c:spPr>
    <a:solidFill>
      <a:schemeClr val="bg1"/>
    </a:solidFill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rgbClr val="000000"/>
                </a:solidFill>
              </a:defRPr>
            </a:pPr>
            <a:r>
              <a:rPr lang="en-US" sz="4000">
                <a:solidFill>
                  <a:srgbClr val="000000"/>
                </a:solidFill>
              </a:rPr>
              <a:t>Global Ad Revenue Share</a:t>
            </a:r>
            <a:r>
              <a:rPr lang="en-US" sz="4000" baseline="0">
                <a:solidFill>
                  <a:srgbClr val="000000"/>
                </a:solidFill>
              </a:rPr>
              <a:t> </a:t>
            </a:r>
            <a:r>
              <a:rPr lang="en-US" sz="4000">
                <a:solidFill>
                  <a:srgbClr val="000000"/>
                </a:solidFill>
              </a:rPr>
              <a:t>By OS </a:t>
            </a:r>
          </a:p>
        </c:rich>
      </c:tx>
      <c:layout>
        <c:manualLayout>
          <c:xMode val="edge"/>
          <c:yMode val="edge"/>
          <c:x val="0.282216585907531"/>
          <c:y val="0.019480524336167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893626851381786"/>
          <c:y val="0.131168831168831"/>
          <c:w val="0.873974044027707"/>
          <c:h val="0.756242560589017"/>
        </c:manualLayout>
      </c:layout>
      <c:areaChart>
        <c:grouping val="percentStacked"/>
        <c:varyColors val="0"/>
        <c:ser>
          <c:idx val="0"/>
          <c:order val="0"/>
          <c:tx>
            <c:strRef>
              <c:f>AdRevenueShare!$A$6:$B$6</c:f>
              <c:strCache>
                <c:ptCount val="1"/>
                <c:pt idx="0">
                  <c:v>iOS</c:v>
                </c:pt>
              </c:strCache>
            </c:strRef>
          </c:tx>
          <c:dLbls>
            <c:txPr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AdRevenueShare!$C$2:$I$2</c:f>
              <c:strCache>
                <c:ptCount val="7"/>
                <c:pt idx="0">
                  <c:v>Q2 2012</c:v>
                </c:pt>
                <c:pt idx="1">
                  <c:v>Q3 2012</c:v>
                </c:pt>
                <c:pt idx="2">
                  <c:v>Q4 2012</c:v>
                </c:pt>
                <c:pt idx="3">
                  <c:v>Q1 2013</c:v>
                </c:pt>
                <c:pt idx="4">
                  <c:v>Q2 2013</c:v>
                </c:pt>
                <c:pt idx="5">
                  <c:v>Q3 2013</c:v>
                </c:pt>
                <c:pt idx="6">
                  <c:v>Q4 2013</c:v>
                </c:pt>
              </c:strCache>
            </c:strRef>
          </c:cat>
          <c:val>
            <c:numRef>
              <c:f>AdRevenueShare!$C$6:$I$6</c:f>
              <c:numCache>
                <c:formatCode>0.00%</c:formatCode>
                <c:ptCount val="7"/>
                <c:pt idx="0">
                  <c:v>0.6141</c:v>
                </c:pt>
                <c:pt idx="1">
                  <c:v>0.584</c:v>
                </c:pt>
                <c:pt idx="2">
                  <c:v>0.5102</c:v>
                </c:pt>
                <c:pt idx="3">
                  <c:v>0.4923</c:v>
                </c:pt>
                <c:pt idx="4">
                  <c:v>0.4936</c:v>
                </c:pt>
                <c:pt idx="5">
                  <c:v>0.4953</c:v>
                </c:pt>
                <c:pt idx="6" formatCode="General">
                  <c:v>0.557</c:v>
                </c:pt>
              </c:numCache>
            </c:numRef>
          </c:val>
        </c:ser>
        <c:ser>
          <c:idx val="5"/>
          <c:order val="1"/>
          <c:tx>
            <c:strRef>
              <c:f>AdRevenueShare!$A$3</c:f>
              <c:strCache>
                <c:ptCount val="1"/>
                <c:pt idx="0">
                  <c:v>Android </c:v>
                </c:pt>
              </c:strCache>
            </c:strRef>
          </c:tx>
          <c:dLbls>
            <c:txPr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AdRevenueShare!$C$2:$I$2</c:f>
              <c:strCache>
                <c:ptCount val="7"/>
                <c:pt idx="0">
                  <c:v>Q2 2012</c:v>
                </c:pt>
                <c:pt idx="1">
                  <c:v>Q3 2012</c:v>
                </c:pt>
                <c:pt idx="2">
                  <c:v>Q4 2012</c:v>
                </c:pt>
                <c:pt idx="3">
                  <c:v>Q1 2013</c:v>
                </c:pt>
                <c:pt idx="4">
                  <c:v>Q2 2013</c:v>
                </c:pt>
                <c:pt idx="5">
                  <c:v>Q3 2013</c:v>
                </c:pt>
                <c:pt idx="6">
                  <c:v>Q4 2013</c:v>
                </c:pt>
              </c:strCache>
            </c:strRef>
          </c:cat>
          <c:val>
            <c:numRef>
              <c:f>AdRevenueShare!$C$3:$I$3</c:f>
              <c:numCache>
                <c:formatCode>0.00%</c:formatCode>
                <c:ptCount val="7"/>
                <c:pt idx="0">
                  <c:v>0.2656</c:v>
                </c:pt>
                <c:pt idx="1">
                  <c:v>0.1679</c:v>
                </c:pt>
                <c:pt idx="2">
                  <c:v>0.2997</c:v>
                </c:pt>
                <c:pt idx="3">
                  <c:v>0.2672</c:v>
                </c:pt>
                <c:pt idx="4">
                  <c:v>0.2808</c:v>
                </c:pt>
                <c:pt idx="5">
                  <c:v>0.2773</c:v>
                </c:pt>
                <c:pt idx="6" formatCode="General">
                  <c:v>0.3173</c:v>
                </c:pt>
              </c:numCache>
            </c:numRef>
          </c:val>
        </c:ser>
        <c:ser>
          <c:idx val="4"/>
          <c:order val="2"/>
          <c:tx>
            <c:strRef>
              <c:f>AdRevenueShare!$A$13</c:f>
              <c:strCache>
                <c:ptCount val="1"/>
                <c:pt idx="0">
                  <c:v>Other</c:v>
                </c:pt>
              </c:strCache>
            </c:strRef>
          </c:tx>
          <c:dLbls>
            <c:txPr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AdRevenueShare!$C$2:$I$2</c:f>
              <c:strCache>
                <c:ptCount val="7"/>
                <c:pt idx="0">
                  <c:v>Q2 2012</c:v>
                </c:pt>
                <c:pt idx="1">
                  <c:v>Q3 2012</c:v>
                </c:pt>
                <c:pt idx="2">
                  <c:v>Q4 2012</c:v>
                </c:pt>
                <c:pt idx="3">
                  <c:v>Q1 2013</c:v>
                </c:pt>
                <c:pt idx="4">
                  <c:v>Q2 2013</c:v>
                </c:pt>
                <c:pt idx="5">
                  <c:v>Q3 2013</c:v>
                </c:pt>
                <c:pt idx="6">
                  <c:v>Q4 2013</c:v>
                </c:pt>
              </c:strCache>
            </c:strRef>
          </c:cat>
          <c:val>
            <c:numRef>
              <c:f>AdRevenueShare!$C$13:$I$13</c:f>
              <c:numCache>
                <c:formatCode>0.00%</c:formatCode>
                <c:ptCount val="7"/>
                <c:pt idx="0">
                  <c:v>0.0986</c:v>
                </c:pt>
                <c:pt idx="1">
                  <c:v>0.1967</c:v>
                </c:pt>
                <c:pt idx="2">
                  <c:v>0.132</c:v>
                </c:pt>
                <c:pt idx="3">
                  <c:v>0.1539</c:v>
                </c:pt>
                <c:pt idx="4">
                  <c:v>0.1527</c:v>
                </c:pt>
                <c:pt idx="5">
                  <c:v>0.1686</c:v>
                </c:pt>
                <c:pt idx="6" formatCode="General">
                  <c:v>0.1003</c:v>
                </c:pt>
              </c:numCache>
            </c:numRef>
          </c:val>
        </c:ser>
        <c:ser>
          <c:idx val="1"/>
          <c:order val="3"/>
          <c:tx>
            <c:strRef>
              <c:f>AdRevenueShare!$A$10:$B$10</c:f>
              <c:strCache>
                <c:ptCount val="1"/>
                <c:pt idx="0">
                  <c:v>BlackBerry OS</c:v>
                </c:pt>
              </c:strCache>
            </c:strRef>
          </c:tx>
          <c:dLbls>
            <c:txPr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AdRevenueShare!$C$2:$I$2</c:f>
              <c:strCache>
                <c:ptCount val="7"/>
                <c:pt idx="0">
                  <c:v>Q2 2012</c:v>
                </c:pt>
                <c:pt idx="1">
                  <c:v>Q3 2012</c:v>
                </c:pt>
                <c:pt idx="2">
                  <c:v>Q4 2012</c:v>
                </c:pt>
                <c:pt idx="3">
                  <c:v>Q1 2013</c:v>
                </c:pt>
                <c:pt idx="4">
                  <c:v>Q2 2013</c:v>
                </c:pt>
                <c:pt idx="5">
                  <c:v>Q3 2013</c:v>
                </c:pt>
                <c:pt idx="6">
                  <c:v>Q4 2013</c:v>
                </c:pt>
              </c:strCache>
            </c:strRef>
          </c:cat>
          <c:val>
            <c:numRef>
              <c:f>AdRevenueShare!$C$10:$I$10</c:f>
              <c:numCache>
                <c:formatCode>0.00%</c:formatCode>
                <c:ptCount val="7"/>
                <c:pt idx="0">
                  <c:v>0.0179</c:v>
                </c:pt>
                <c:pt idx="1">
                  <c:v>0.0415</c:v>
                </c:pt>
                <c:pt idx="2">
                  <c:v>0.0412</c:v>
                </c:pt>
                <c:pt idx="3">
                  <c:v>0.0619</c:v>
                </c:pt>
                <c:pt idx="4">
                  <c:v>0.0541</c:v>
                </c:pt>
                <c:pt idx="5">
                  <c:v>0.0433</c:v>
                </c:pt>
                <c:pt idx="6" formatCode="General">
                  <c:v>0.0135</c:v>
                </c:pt>
              </c:numCache>
            </c:numRef>
          </c:val>
        </c:ser>
        <c:ser>
          <c:idx val="2"/>
          <c:order val="4"/>
          <c:tx>
            <c:strRef>
              <c:f>AdRevenueShare!$A$11:$B$11</c:f>
              <c:strCache>
                <c:ptCount val="1"/>
                <c:pt idx="0">
                  <c:v>Symbian</c:v>
                </c:pt>
              </c:strCache>
            </c:strRef>
          </c:tx>
          <c:dLbls>
            <c:dLbl>
              <c:idx val="0"/>
              <c:layout>
                <c:manualLayout>
                  <c:x val="0.00519255733448723"/>
                  <c:y val="-0.00649350649350649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AdRevenueShare!$C$2:$I$2</c:f>
              <c:strCache>
                <c:ptCount val="7"/>
                <c:pt idx="0">
                  <c:v>Q2 2012</c:v>
                </c:pt>
                <c:pt idx="1">
                  <c:v>Q3 2012</c:v>
                </c:pt>
                <c:pt idx="2">
                  <c:v>Q4 2012</c:v>
                </c:pt>
                <c:pt idx="3">
                  <c:v>Q1 2013</c:v>
                </c:pt>
                <c:pt idx="4">
                  <c:v>Q2 2013</c:v>
                </c:pt>
                <c:pt idx="5">
                  <c:v>Q3 2013</c:v>
                </c:pt>
                <c:pt idx="6">
                  <c:v>Q4 2013</c:v>
                </c:pt>
              </c:strCache>
            </c:strRef>
          </c:cat>
          <c:val>
            <c:numRef>
              <c:f>AdRevenueShare!$C$11:$I$11</c:f>
              <c:numCache>
                <c:formatCode>0.00%</c:formatCode>
                <c:ptCount val="7"/>
                <c:pt idx="0">
                  <c:v>0.0037</c:v>
                </c:pt>
                <c:pt idx="1">
                  <c:v>0.0099</c:v>
                </c:pt>
                <c:pt idx="2">
                  <c:v>0.0169</c:v>
                </c:pt>
                <c:pt idx="3">
                  <c:v>0.0246</c:v>
                </c:pt>
                <c:pt idx="4">
                  <c:v>0.0159</c:v>
                </c:pt>
                <c:pt idx="5">
                  <c:v>0.0121</c:v>
                </c:pt>
                <c:pt idx="6" formatCode="General">
                  <c:v>0.0084</c:v>
                </c:pt>
              </c:numCache>
            </c:numRef>
          </c:val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2099441176"/>
        <c:axId val="2099446760"/>
      </c:areaChart>
      <c:catAx>
        <c:axId val="2099441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r>
                  <a:rPr lang="en-US" sz="1800" b="0" i="1">
                    <a:solidFill>
                      <a:srgbClr val="000000"/>
                    </a:solidFill>
                  </a:rPr>
                  <a:t>Source: Opera Mediaworks</a:t>
                </a:r>
              </a:p>
            </c:rich>
          </c:tx>
          <c:layout>
            <c:manualLayout>
              <c:xMode val="edge"/>
              <c:yMode val="edge"/>
              <c:x val="3.5434774461099E-5"/>
              <c:y val="0.97272727272727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9446760"/>
        <c:crosses val="autoZero"/>
        <c:auto val="1"/>
        <c:lblAlgn val="ctr"/>
        <c:lblOffset val="100"/>
        <c:noMultiLvlLbl val="0"/>
      </c:catAx>
      <c:valAx>
        <c:axId val="20994467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r>
                  <a:rPr lang="en-US" sz="2000">
                    <a:solidFill>
                      <a:srgbClr val="000000"/>
                    </a:solidFill>
                  </a:rPr>
                  <a:t>% Market Share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9441176"/>
        <c:crosses val="autoZero"/>
        <c:crossBetween val="midCat"/>
      </c:valAx>
    </c:plotArea>
    <c:plotVisOnly val="1"/>
    <c:dispBlanksAs val="zero"/>
    <c:showDLblsOverMax val="0"/>
  </c:chart>
  <c:spPr>
    <a:solidFill>
      <a:srgbClr val="FFFFFF"/>
    </a:solidFill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0"/>
            </a:pPr>
            <a:r>
              <a:rPr lang="en-US" sz="4000"/>
              <a:t>Global Traffic</a:t>
            </a:r>
            <a:r>
              <a:rPr lang="en-US" sz="4000" baseline="0"/>
              <a:t> Share By OS</a:t>
            </a:r>
            <a:endParaRPr lang="en-US" sz="4000"/>
          </a:p>
        </c:rich>
      </c:tx>
      <c:layout>
        <c:manualLayout>
          <c:xMode val="edge"/>
          <c:yMode val="edge"/>
          <c:x val="0.328603946541939"/>
          <c:y val="0.014245014245014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8765394710277"/>
          <c:y val="0.1329534662868"/>
          <c:w val="0.799847314758732"/>
          <c:h val="0.732494522586386"/>
        </c:manualLayout>
      </c:layout>
      <c:areaChart>
        <c:grouping val="percentStacked"/>
        <c:varyColors val="0"/>
        <c:ser>
          <c:idx val="0"/>
          <c:order val="0"/>
          <c:tx>
            <c:strRef>
              <c:f>AdRevenueShare!$A$37</c:f>
              <c:strCache>
                <c:ptCount val="1"/>
                <c:pt idx="0">
                  <c:v>Android </c:v>
                </c:pt>
              </c:strCache>
            </c:strRef>
          </c:tx>
          <c:dLbls>
            <c:txPr>
              <a:bodyPr/>
              <a:lstStyle/>
              <a:p>
                <a:pPr>
                  <a:defRPr sz="20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AdRevenueShare!$C$36:$I$36</c:f>
              <c:strCache>
                <c:ptCount val="7"/>
                <c:pt idx="0">
                  <c:v>Q2 2012</c:v>
                </c:pt>
                <c:pt idx="1">
                  <c:v>Q3 2012</c:v>
                </c:pt>
                <c:pt idx="2">
                  <c:v>Q4 2012</c:v>
                </c:pt>
                <c:pt idx="3">
                  <c:v>Q1 2013</c:v>
                </c:pt>
                <c:pt idx="4">
                  <c:v>Q2 2013</c:v>
                </c:pt>
                <c:pt idx="5">
                  <c:v>Q3 2013</c:v>
                </c:pt>
                <c:pt idx="6">
                  <c:v>Q4 2013</c:v>
                </c:pt>
              </c:strCache>
            </c:strRef>
          </c:cat>
          <c:val>
            <c:numRef>
              <c:f>AdRevenueShare!$C$37:$I$37</c:f>
              <c:numCache>
                <c:formatCode>0.00%</c:formatCode>
                <c:ptCount val="7"/>
                <c:pt idx="0">
                  <c:v>0.2443</c:v>
                </c:pt>
                <c:pt idx="1">
                  <c:v>0.2566</c:v>
                </c:pt>
                <c:pt idx="2">
                  <c:v>0.3094</c:v>
                </c:pt>
                <c:pt idx="3">
                  <c:v>0.3126</c:v>
                </c:pt>
                <c:pt idx="4">
                  <c:v>0.3124</c:v>
                </c:pt>
                <c:pt idx="5">
                  <c:v>0.3132</c:v>
                </c:pt>
                <c:pt idx="6" formatCode="0%">
                  <c:v>0.3771</c:v>
                </c:pt>
              </c:numCache>
            </c:numRef>
          </c:val>
        </c:ser>
        <c:ser>
          <c:idx val="1"/>
          <c:order val="1"/>
          <c:tx>
            <c:strRef>
              <c:f>AdRevenueShare!$A$40</c:f>
              <c:strCache>
                <c:ptCount val="1"/>
                <c:pt idx="0">
                  <c:v>iOS</c:v>
                </c:pt>
              </c:strCache>
            </c:strRef>
          </c:tx>
          <c:dLbls>
            <c:txPr>
              <a:bodyPr/>
              <a:lstStyle/>
              <a:p>
                <a:pPr>
                  <a:defRPr sz="20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AdRevenueShare!$C$36:$I$36</c:f>
              <c:strCache>
                <c:ptCount val="7"/>
                <c:pt idx="0">
                  <c:v>Q2 2012</c:v>
                </c:pt>
                <c:pt idx="1">
                  <c:v>Q3 2012</c:v>
                </c:pt>
                <c:pt idx="2">
                  <c:v>Q4 2012</c:v>
                </c:pt>
                <c:pt idx="3">
                  <c:v>Q1 2013</c:v>
                </c:pt>
                <c:pt idx="4">
                  <c:v>Q2 2013</c:v>
                </c:pt>
                <c:pt idx="5">
                  <c:v>Q3 2013</c:v>
                </c:pt>
                <c:pt idx="6">
                  <c:v>Q4 2013</c:v>
                </c:pt>
              </c:strCache>
            </c:strRef>
          </c:cat>
          <c:val>
            <c:numRef>
              <c:f>AdRevenueShare!$C$40:$I$40</c:f>
              <c:numCache>
                <c:formatCode>0.00%</c:formatCode>
                <c:ptCount val="7"/>
                <c:pt idx="0">
                  <c:v>0.4653</c:v>
                </c:pt>
                <c:pt idx="1">
                  <c:v>0.4637</c:v>
                </c:pt>
                <c:pt idx="2">
                  <c:v>0.4191</c:v>
                </c:pt>
                <c:pt idx="3">
                  <c:v>0.4453</c:v>
                </c:pt>
                <c:pt idx="4">
                  <c:v>0.4375</c:v>
                </c:pt>
                <c:pt idx="5">
                  <c:v>0.444</c:v>
                </c:pt>
                <c:pt idx="6" formatCode="0%">
                  <c:v>0.4339</c:v>
                </c:pt>
              </c:numCache>
            </c:numRef>
          </c:val>
        </c:ser>
        <c:ser>
          <c:idx val="2"/>
          <c:order val="2"/>
          <c:tx>
            <c:strRef>
              <c:f>AdRevenueShare!$A$44</c:f>
              <c:strCache>
                <c:ptCount val="1"/>
                <c:pt idx="0">
                  <c:v>BlackBerry OS</c:v>
                </c:pt>
              </c:strCache>
            </c:strRef>
          </c:tx>
          <c:dLbls>
            <c:txPr>
              <a:bodyPr/>
              <a:lstStyle/>
              <a:p>
                <a:pPr>
                  <a:defRPr sz="20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AdRevenueShare!$C$36:$I$36</c:f>
              <c:strCache>
                <c:ptCount val="7"/>
                <c:pt idx="0">
                  <c:v>Q2 2012</c:v>
                </c:pt>
                <c:pt idx="1">
                  <c:v>Q3 2012</c:v>
                </c:pt>
                <c:pt idx="2">
                  <c:v>Q4 2012</c:v>
                </c:pt>
                <c:pt idx="3">
                  <c:v>Q1 2013</c:v>
                </c:pt>
                <c:pt idx="4">
                  <c:v>Q2 2013</c:v>
                </c:pt>
                <c:pt idx="5">
                  <c:v>Q3 2013</c:v>
                </c:pt>
                <c:pt idx="6">
                  <c:v>Q4 2013</c:v>
                </c:pt>
              </c:strCache>
            </c:strRef>
          </c:cat>
          <c:val>
            <c:numRef>
              <c:f>AdRevenueShare!$C$44:$I$44</c:f>
              <c:numCache>
                <c:formatCode>0.00%</c:formatCode>
                <c:ptCount val="7"/>
                <c:pt idx="0">
                  <c:v>0.0632</c:v>
                </c:pt>
                <c:pt idx="1">
                  <c:v>0.044</c:v>
                </c:pt>
                <c:pt idx="2">
                  <c:v>0.0374</c:v>
                </c:pt>
                <c:pt idx="3">
                  <c:v>0.0423</c:v>
                </c:pt>
                <c:pt idx="4">
                  <c:v>0.0337</c:v>
                </c:pt>
                <c:pt idx="5">
                  <c:v>0.0284</c:v>
                </c:pt>
                <c:pt idx="6" formatCode="0%">
                  <c:v>0.0211</c:v>
                </c:pt>
              </c:numCache>
            </c:numRef>
          </c:val>
        </c:ser>
        <c:ser>
          <c:idx val="3"/>
          <c:order val="3"/>
          <c:tx>
            <c:strRef>
              <c:f>AdRevenueShare!$A$45</c:f>
              <c:strCache>
                <c:ptCount val="1"/>
                <c:pt idx="0">
                  <c:v>Symbian</c:v>
                </c:pt>
              </c:strCache>
            </c:strRef>
          </c:tx>
          <c:dLbls>
            <c:txPr>
              <a:bodyPr/>
              <a:lstStyle/>
              <a:p>
                <a:pPr>
                  <a:defRPr sz="20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AdRevenueShare!$C$36:$I$36</c:f>
              <c:strCache>
                <c:ptCount val="7"/>
                <c:pt idx="0">
                  <c:v>Q2 2012</c:v>
                </c:pt>
                <c:pt idx="1">
                  <c:v>Q3 2012</c:v>
                </c:pt>
                <c:pt idx="2">
                  <c:v>Q4 2012</c:v>
                </c:pt>
                <c:pt idx="3">
                  <c:v>Q1 2013</c:v>
                </c:pt>
                <c:pt idx="4">
                  <c:v>Q2 2013</c:v>
                </c:pt>
                <c:pt idx="5">
                  <c:v>Q3 2013</c:v>
                </c:pt>
                <c:pt idx="6">
                  <c:v>Q4 2013</c:v>
                </c:pt>
              </c:strCache>
            </c:strRef>
          </c:cat>
          <c:val>
            <c:numRef>
              <c:f>AdRevenueShare!$C$45:$I$45</c:f>
              <c:numCache>
                <c:formatCode>0.00%</c:formatCode>
                <c:ptCount val="7"/>
                <c:pt idx="0">
                  <c:v>0.0137</c:v>
                </c:pt>
                <c:pt idx="1">
                  <c:v>0.0353</c:v>
                </c:pt>
                <c:pt idx="2">
                  <c:v>0.0901</c:v>
                </c:pt>
                <c:pt idx="3">
                  <c:v>0.056</c:v>
                </c:pt>
                <c:pt idx="4">
                  <c:v>0.0516</c:v>
                </c:pt>
                <c:pt idx="5">
                  <c:v>0.0473</c:v>
                </c:pt>
                <c:pt idx="6" formatCode="0%">
                  <c:v>0.0421</c:v>
                </c:pt>
              </c:numCache>
            </c:numRef>
          </c:val>
        </c:ser>
        <c:ser>
          <c:idx val="5"/>
          <c:order val="4"/>
          <c:tx>
            <c:strRef>
              <c:f>AdRevenueShare!$A$47</c:f>
              <c:strCache>
                <c:ptCount val="1"/>
                <c:pt idx="0">
                  <c:v>Other</c:v>
                </c:pt>
              </c:strCache>
            </c:strRef>
          </c:tx>
          <c:dLbls>
            <c:dLbl>
              <c:idx val="0"/>
              <c:spPr/>
              <c:txPr>
                <a:bodyPr/>
                <a:lstStyle/>
                <a:p>
                  <a:pPr>
                    <a:defRPr sz="2000"/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AdRevenueShare!$C$36:$I$36</c:f>
              <c:strCache>
                <c:ptCount val="7"/>
                <c:pt idx="0">
                  <c:v>Q2 2012</c:v>
                </c:pt>
                <c:pt idx="1">
                  <c:v>Q3 2012</c:v>
                </c:pt>
                <c:pt idx="2">
                  <c:v>Q4 2012</c:v>
                </c:pt>
                <c:pt idx="3">
                  <c:v>Q1 2013</c:v>
                </c:pt>
                <c:pt idx="4">
                  <c:v>Q2 2013</c:v>
                </c:pt>
                <c:pt idx="5">
                  <c:v>Q3 2013</c:v>
                </c:pt>
                <c:pt idx="6">
                  <c:v>Q4 2013</c:v>
                </c:pt>
              </c:strCache>
            </c:strRef>
          </c:cat>
          <c:val>
            <c:numRef>
              <c:f>AdRevenueShare!$C$47:$I$47</c:f>
              <c:numCache>
                <c:formatCode>0.00%</c:formatCode>
                <c:ptCount val="7"/>
                <c:pt idx="0">
                  <c:v>0.2127</c:v>
                </c:pt>
                <c:pt idx="1">
                  <c:v>0.2004</c:v>
                </c:pt>
                <c:pt idx="2">
                  <c:v>0.144</c:v>
                </c:pt>
                <c:pt idx="3">
                  <c:v>0.1429</c:v>
                </c:pt>
                <c:pt idx="4">
                  <c:v>0.1621</c:v>
                </c:pt>
                <c:pt idx="5">
                  <c:v>0.1635</c:v>
                </c:pt>
                <c:pt idx="6" formatCode="0%">
                  <c:v>0.121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1659560"/>
        <c:axId val="2091665464"/>
      </c:areaChart>
      <c:catAx>
        <c:axId val="2091659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0" i="1" baseline="0">
                    <a:effectLst/>
                  </a:rPr>
                  <a:t>Source: Opera Mediaworks, The State Of Mobile Advertising Q2 2012-Q3 2013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0.000861010162191275"/>
              <c:y val="0.97073434730915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1665464"/>
        <c:crosses val="autoZero"/>
        <c:auto val="1"/>
        <c:lblAlgn val="ctr"/>
        <c:lblOffset val="100"/>
        <c:noMultiLvlLbl val="0"/>
      </c:catAx>
      <c:valAx>
        <c:axId val="20916654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2000"/>
                  <a:t>Share Of Traffic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16595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45889696480248"/>
          <c:y val="0.89737803874943"/>
          <c:w val="0.542215716625165"/>
          <c:h val="0.100305650896202"/>
        </c:manualLayout>
      </c:layout>
      <c:overlay val="0"/>
      <c:txPr>
        <a:bodyPr/>
        <a:lstStyle/>
        <a:p>
          <a:pPr>
            <a:defRPr sz="2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000"/>
            </a:pPr>
            <a:r>
              <a:rPr lang="en-US" sz="4000"/>
              <a:t>Ecommerce Website Traffic By Mobile Platform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661251849306904"/>
          <c:y val="0.0969054921945386"/>
          <c:w val="0.896180225913435"/>
          <c:h val="0.811462459594646"/>
        </c:manualLayout>
      </c:layout>
      <c:areaChart>
        <c:grouping val="stacked"/>
        <c:varyColors val="0"/>
        <c:ser>
          <c:idx val="0"/>
          <c:order val="0"/>
          <c:tx>
            <c:strRef>
              <c:f>'ecommerce smartphone traffic'!$D$7</c:f>
              <c:strCache>
                <c:ptCount val="1"/>
                <c:pt idx="0">
                  <c:v>PC</c:v>
                </c:pt>
              </c:strCache>
            </c:strRef>
          </c:tx>
          <c:spPr>
            <a:solidFill>
              <a:schemeClr val="accent4"/>
            </a:solidFill>
          </c:spPr>
          <c:dLbls>
            <c:dLbl>
              <c:idx val="0"/>
              <c:layout>
                <c:manualLayout>
                  <c:x val="-0.0501569193877479"/>
                  <c:y val="-0.0287536159269858"/>
                </c:manualLayout>
              </c:layout>
              <c:tx>
                <c:rich>
                  <a:bodyPr/>
                  <a:lstStyle/>
                  <a:p>
                    <a:r>
                      <a:rPr lang="en-US" sz="2000" b="0">
                        <a:solidFill>
                          <a:srgbClr val="000000"/>
                        </a:solidFill>
                      </a:rPr>
                      <a:t>iPad</a:t>
                    </a:r>
                    <a:endParaRPr lang="en-US" sz="1800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 b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'ecommerce smartphone traffic'!$E$6:$O$6</c:f>
              <c:strCache>
                <c:ptCount val="11"/>
                <c:pt idx="0">
                  <c:v>Q1 2011</c:v>
                </c:pt>
                <c:pt idx="1">
                  <c:v>Q2 2011</c:v>
                </c:pt>
                <c:pt idx="2">
                  <c:v>Q3 2011</c:v>
                </c:pt>
                <c:pt idx="3">
                  <c:v>Q4 2011</c:v>
                </c:pt>
                <c:pt idx="4">
                  <c:v>Q1 2012</c:v>
                </c:pt>
                <c:pt idx="5">
                  <c:v>Q2 2012</c:v>
                </c:pt>
                <c:pt idx="6">
                  <c:v>Q3 2012</c:v>
                </c:pt>
                <c:pt idx="7">
                  <c:v>Q4 2012</c:v>
                </c:pt>
                <c:pt idx="8">
                  <c:v>Q1 2013</c:v>
                </c:pt>
                <c:pt idx="9">
                  <c:v>Q2 2013</c:v>
                </c:pt>
                <c:pt idx="10">
                  <c:v>Q3 2013</c:v>
                </c:pt>
              </c:strCache>
            </c:strRef>
          </c:cat>
          <c:val>
            <c:numRef>
              <c:f>'ecommerce smartphone traffic'!$E$24:$O$24</c:f>
              <c:numCache>
                <c:formatCode>0.0%</c:formatCode>
                <c:ptCount val="11"/>
                <c:pt idx="0">
                  <c:v>0.280931748726655</c:v>
                </c:pt>
                <c:pt idx="1">
                  <c:v>0.342322511485452</c:v>
                </c:pt>
                <c:pt idx="2">
                  <c:v>0.40205890052356</c:v>
                </c:pt>
                <c:pt idx="3">
                  <c:v>0.458935406698565</c:v>
                </c:pt>
                <c:pt idx="4">
                  <c:v>0.448699507389163</c:v>
                </c:pt>
                <c:pt idx="5">
                  <c:v>0.425230394736842</c:v>
                </c:pt>
                <c:pt idx="6">
                  <c:v>0.435530927835052</c:v>
                </c:pt>
                <c:pt idx="7">
                  <c:v>0.452669025157233</c:v>
                </c:pt>
                <c:pt idx="8">
                  <c:v>0.494146164772727</c:v>
                </c:pt>
                <c:pt idx="9">
                  <c:v>0.509461003163127</c:v>
                </c:pt>
                <c:pt idx="10" formatCode="0%">
                  <c:v>0.530980979360583</c:v>
                </c:pt>
              </c:numCache>
            </c:numRef>
          </c:val>
        </c:ser>
        <c:ser>
          <c:idx val="3"/>
          <c:order val="1"/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0.0466677699288973"/>
                  <c:y val="0.0155596516480782"/>
                </c:manualLayout>
              </c:layout>
              <c:tx>
                <c:rich>
                  <a:bodyPr/>
                  <a:lstStyle/>
                  <a:p>
                    <a:r>
                      <a:rPr lang="en-US" sz="2000" b="0">
                        <a:solidFill>
                          <a:srgbClr val="000000"/>
                        </a:solidFill>
                      </a:rPr>
                      <a:t>iPhone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 b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'ecommerce smartphone traffic'!$E$6:$O$6</c:f>
              <c:strCache>
                <c:ptCount val="11"/>
                <c:pt idx="0">
                  <c:v>Q1 2011</c:v>
                </c:pt>
                <c:pt idx="1">
                  <c:v>Q2 2011</c:v>
                </c:pt>
                <c:pt idx="2">
                  <c:v>Q3 2011</c:v>
                </c:pt>
                <c:pt idx="3">
                  <c:v>Q4 2011</c:v>
                </c:pt>
                <c:pt idx="4">
                  <c:v>Q1 2012</c:v>
                </c:pt>
                <c:pt idx="5">
                  <c:v>Q2 2012</c:v>
                </c:pt>
                <c:pt idx="6">
                  <c:v>Q3 2012</c:v>
                </c:pt>
                <c:pt idx="7">
                  <c:v>Q4 2012</c:v>
                </c:pt>
                <c:pt idx="8">
                  <c:v>Q1 2013</c:v>
                </c:pt>
                <c:pt idx="9">
                  <c:v>Q2 2013</c:v>
                </c:pt>
                <c:pt idx="10">
                  <c:v>Q3 2013</c:v>
                </c:pt>
              </c:strCache>
            </c:strRef>
          </c:cat>
          <c:val>
            <c:numRef>
              <c:f>'ecommerce smartphone traffic'!$E$23:$O$23</c:f>
              <c:numCache>
                <c:formatCode>0.0%</c:formatCode>
                <c:ptCount val="11"/>
                <c:pt idx="0">
                  <c:v>0.406697623089983</c:v>
                </c:pt>
                <c:pt idx="1">
                  <c:v>0.394566309341501</c:v>
                </c:pt>
                <c:pt idx="2">
                  <c:v>0.323899476439791</c:v>
                </c:pt>
                <c:pt idx="3">
                  <c:v>0.271527511961722</c:v>
                </c:pt>
                <c:pt idx="4">
                  <c:v>0.285337438423645</c:v>
                </c:pt>
                <c:pt idx="5">
                  <c:v>0.31264125</c:v>
                </c:pt>
                <c:pt idx="6">
                  <c:v>0.306185567010309</c:v>
                </c:pt>
                <c:pt idx="7">
                  <c:v>0.302097012578616</c:v>
                </c:pt>
                <c:pt idx="8">
                  <c:v>0.291316619318182</c:v>
                </c:pt>
                <c:pt idx="9">
                  <c:v>0.274674062358789</c:v>
                </c:pt>
                <c:pt idx="10" formatCode="0%">
                  <c:v>0.255632294617564</c:v>
                </c:pt>
              </c:numCache>
            </c:numRef>
          </c:val>
        </c:ser>
        <c:ser>
          <c:idx val="2"/>
          <c:order val="2"/>
          <c:tx>
            <c:strRef>
              <c:f>'ecommerce smartphone traffic'!$D$9</c:f>
              <c:strCache>
                <c:ptCount val="1"/>
                <c:pt idx="0">
                  <c:v>Smartphone</c:v>
                </c:pt>
              </c:strCache>
            </c:strRef>
          </c:tx>
          <c:spPr>
            <a:solidFill>
              <a:schemeClr val="accent2"/>
            </a:solidFill>
          </c:spPr>
          <c:dLbls>
            <c:dLbl>
              <c:idx val="0"/>
              <c:layout>
                <c:manualLayout>
                  <c:x val="0.183557330266931"/>
                  <c:y val="-0.0158288241202306"/>
                </c:manualLayout>
              </c:layout>
              <c:tx>
                <c:rich>
                  <a:bodyPr/>
                  <a:lstStyle/>
                  <a:p>
                    <a:r>
                      <a:rPr lang="en-US" sz="2000" b="0">
                        <a:solidFill>
                          <a:srgbClr val="000000"/>
                        </a:solidFill>
                      </a:rPr>
                      <a:t>Android Phone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 b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'ecommerce smartphone traffic'!$E$6:$O$6</c:f>
              <c:strCache>
                <c:ptCount val="11"/>
                <c:pt idx="0">
                  <c:v>Q1 2011</c:v>
                </c:pt>
                <c:pt idx="1">
                  <c:v>Q2 2011</c:v>
                </c:pt>
                <c:pt idx="2">
                  <c:v>Q3 2011</c:v>
                </c:pt>
                <c:pt idx="3">
                  <c:v>Q4 2011</c:v>
                </c:pt>
                <c:pt idx="4">
                  <c:v>Q1 2012</c:v>
                </c:pt>
                <c:pt idx="5">
                  <c:v>Q2 2012</c:v>
                </c:pt>
                <c:pt idx="6">
                  <c:v>Q3 2012</c:v>
                </c:pt>
                <c:pt idx="7">
                  <c:v>Q4 2012</c:v>
                </c:pt>
                <c:pt idx="8">
                  <c:v>Q1 2013</c:v>
                </c:pt>
                <c:pt idx="9">
                  <c:v>Q2 2013</c:v>
                </c:pt>
                <c:pt idx="10">
                  <c:v>Q3 2013</c:v>
                </c:pt>
              </c:strCache>
            </c:strRef>
          </c:cat>
          <c:val>
            <c:numRef>
              <c:f>'ecommerce smartphone traffic'!$E$25:$O$25</c:f>
              <c:numCache>
                <c:formatCode>0.0%</c:formatCode>
                <c:ptCount val="11"/>
                <c:pt idx="0">
                  <c:v>0.304215280135823</c:v>
                </c:pt>
                <c:pt idx="1">
                  <c:v>0.250249464012251</c:v>
                </c:pt>
                <c:pt idx="2">
                  <c:v>0.251759293193717</c:v>
                </c:pt>
                <c:pt idx="3">
                  <c:v>0.234751196172249</c:v>
                </c:pt>
                <c:pt idx="4">
                  <c:v>0.205383251231527</c:v>
                </c:pt>
                <c:pt idx="5">
                  <c:v>0.198807236842105</c:v>
                </c:pt>
                <c:pt idx="6">
                  <c:v>0.195601546391753</c:v>
                </c:pt>
                <c:pt idx="7">
                  <c:v>0.189252987421384</c:v>
                </c:pt>
                <c:pt idx="8">
                  <c:v>0.158904119318182</c:v>
                </c:pt>
                <c:pt idx="9">
                  <c:v>0.157281879801175</c:v>
                </c:pt>
                <c:pt idx="10" formatCode="0%">
                  <c:v>0.146482719546742</c:v>
                </c:pt>
              </c:numCache>
            </c:numRef>
          </c:val>
        </c:ser>
        <c:ser>
          <c:idx val="4"/>
          <c:order val="3"/>
          <c:spPr>
            <a:solidFill>
              <a:schemeClr val="accent2">
                <a:lumMod val="75000"/>
              </a:schemeClr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0.274773771043535"/>
                  <c:y val="-0.00677655790771482"/>
                </c:manualLayout>
              </c:layout>
              <c:tx>
                <c:rich>
                  <a:bodyPr/>
                  <a:lstStyle/>
                  <a:p>
                    <a:r>
                      <a:rPr lang="en-US" sz="2000" b="0">
                        <a:solidFill>
                          <a:srgbClr val="000000"/>
                        </a:solidFill>
                      </a:rPr>
                      <a:t>Android Tablet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 b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'ecommerce smartphone traffic'!$E$6:$O$6</c:f>
              <c:strCache>
                <c:ptCount val="11"/>
                <c:pt idx="0">
                  <c:v>Q1 2011</c:v>
                </c:pt>
                <c:pt idx="1">
                  <c:v>Q2 2011</c:v>
                </c:pt>
                <c:pt idx="2">
                  <c:v>Q3 2011</c:v>
                </c:pt>
                <c:pt idx="3">
                  <c:v>Q4 2011</c:v>
                </c:pt>
                <c:pt idx="4">
                  <c:v>Q1 2012</c:v>
                </c:pt>
                <c:pt idx="5">
                  <c:v>Q2 2012</c:v>
                </c:pt>
                <c:pt idx="6">
                  <c:v>Q3 2012</c:v>
                </c:pt>
                <c:pt idx="7">
                  <c:v>Q4 2012</c:v>
                </c:pt>
                <c:pt idx="8">
                  <c:v>Q1 2013</c:v>
                </c:pt>
                <c:pt idx="9">
                  <c:v>Q2 2013</c:v>
                </c:pt>
                <c:pt idx="10">
                  <c:v>Q3 2013</c:v>
                </c:pt>
              </c:strCache>
            </c:strRef>
          </c:cat>
          <c:val>
            <c:numRef>
              <c:f>'ecommerce smartphone traffic'!$E$26:$O$26</c:f>
              <c:numCache>
                <c:formatCode>0.0%</c:formatCode>
                <c:ptCount val="11"/>
                <c:pt idx="0">
                  <c:v>0.000901867572156197</c:v>
                </c:pt>
                <c:pt idx="1">
                  <c:v>0.00377243491577335</c:v>
                </c:pt>
                <c:pt idx="2">
                  <c:v>0.0128625654450262</c:v>
                </c:pt>
                <c:pt idx="3">
                  <c:v>0.022194019138756</c:v>
                </c:pt>
                <c:pt idx="4">
                  <c:v>0.0316049261083744</c:v>
                </c:pt>
                <c:pt idx="5">
                  <c:v>0.0312598684210526</c:v>
                </c:pt>
                <c:pt idx="6">
                  <c:v>0.0310463917525773</c:v>
                </c:pt>
                <c:pt idx="7">
                  <c:v>0.0335551886792453</c:v>
                </c:pt>
                <c:pt idx="8">
                  <c:v>0.0381911931818182</c:v>
                </c:pt>
                <c:pt idx="9">
                  <c:v>0.0428907365567103</c:v>
                </c:pt>
                <c:pt idx="10" formatCode="0%">
                  <c:v>0.0531811007689195</c:v>
                </c:pt>
              </c:numCache>
            </c:numRef>
          </c:val>
        </c:ser>
        <c:ser>
          <c:idx val="1"/>
          <c:order val="4"/>
          <c:tx>
            <c:strRef>
              <c:f>'ecommerce smartphone traffic'!$D$8</c:f>
              <c:strCache>
                <c:ptCount val="1"/>
                <c:pt idx="0">
                  <c:v>Tablet</c:v>
                </c:pt>
              </c:strCache>
            </c:strRef>
          </c:tx>
          <c:spPr>
            <a:solidFill>
              <a:schemeClr val="accent3"/>
            </a:solidFill>
          </c:spPr>
          <c:dLbls>
            <c:dLbl>
              <c:idx val="0"/>
              <c:layout>
                <c:manualLayout>
                  <c:x val="0.0525597913350768"/>
                  <c:y val="-0.00299513012705057"/>
                </c:manualLayout>
              </c:layout>
              <c:tx>
                <c:rich>
                  <a:bodyPr/>
                  <a:lstStyle/>
                  <a:p>
                    <a:r>
                      <a:rPr lang="en-US" sz="2000" b="0">
                        <a:solidFill>
                          <a:srgbClr val="000000"/>
                        </a:solidFill>
                      </a:rPr>
                      <a:t>Other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 b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'ecommerce smartphone traffic'!$E$6:$O$6</c:f>
              <c:strCache>
                <c:ptCount val="11"/>
                <c:pt idx="0">
                  <c:v>Q1 2011</c:v>
                </c:pt>
                <c:pt idx="1">
                  <c:v>Q2 2011</c:v>
                </c:pt>
                <c:pt idx="2">
                  <c:v>Q3 2011</c:v>
                </c:pt>
                <c:pt idx="3">
                  <c:v>Q4 2011</c:v>
                </c:pt>
                <c:pt idx="4">
                  <c:v>Q1 2012</c:v>
                </c:pt>
                <c:pt idx="5">
                  <c:v>Q2 2012</c:v>
                </c:pt>
                <c:pt idx="6">
                  <c:v>Q3 2012</c:v>
                </c:pt>
                <c:pt idx="7">
                  <c:v>Q4 2012</c:v>
                </c:pt>
                <c:pt idx="8">
                  <c:v>Q1 2013</c:v>
                </c:pt>
                <c:pt idx="9">
                  <c:v>Q2 2013</c:v>
                </c:pt>
                <c:pt idx="10">
                  <c:v>Q3 2013</c:v>
                </c:pt>
              </c:strCache>
            </c:strRef>
          </c:cat>
          <c:val>
            <c:numRef>
              <c:f>'ecommerce smartphone traffic'!$E$27:$O$27</c:f>
              <c:numCache>
                <c:formatCode>0.0%</c:formatCode>
                <c:ptCount val="11"/>
                <c:pt idx="0">
                  <c:v>0.00725348047538199</c:v>
                </c:pt>
                <c:pt idx="1">
                  <c:v>0.00908928024502275</c:v>
                </c:pt>
                <c:pt idx="2">
                  <c:v>0.00941976439790559</c:v>
                </c:pt>
                <c:pt idx="3">
                  <c:v>0.0125918660287081</c:v>
                </c:pt>
                <c:pt idx="4">
                  <c:v>0.0289748768472905</c:v>
                </c:pt>
                <c:pt idx="5">
                  <c:v>0.03206125</c:v>
                </c:pt>
                <c:pt idx="6">
                  <c:v>0.0316355670103094</c:v>
                </c:pt>
                <c:pt idx="7">
                  <c:v>0.0224257861635221</c:v>
                </c:pt>
                <c:pt idx="8">
                  <c:v>0.0174419034090908</c:v>
                </c:pt>
                <c:pt idx="9">
                  <c:v>0.0156923181201988</c:v>
                </c:pt>
                <c:pt idx="10" formatCode="0%">
                  <c:v>0.0137229057061919</c:v>
                </c:pt>
              </c:numCache>
            </c:numRef>
          </c:val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2068660104"/>
        <c:axId val="2068598888"/>
      </c:areaChart>
      <c:catAx>
        <c:axId val="2068660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Source: Monetate</a:t>
                </a:r>
              </a:p>
            </c:rich>
          </c:tx>
          <c:layout>
            <c:manualLayout>
              <c:xMode val="edge"/>
              <c:yMode val="edge"/>
              <c:x val="0.000704945274538817"/>
              <c:y val="0.969384572508069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68598888"/>
        <c:crosses val="autoZero"/>
        <c:auto val="1"/>
        <c:lblAlgn val="ctr"/>
        <c:lblOffset val="100"/>
        <c:noMultiLvlLbl val="0"/>
      </c:catAx>
      <c:valAx>
        <c:axId val="2068598888"/>
        <c:scaling>
          <c:orientation val="minMax"/>
          <c:max val="1.0"/>
          <c:min val="0.0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68660104"/>
        <c:crosses val="autoZero"/>
        <c:crossBetween val="midCat"/>
      </c:valAx>
    </c:plotArea>
    <c:plotVisOnly val="1"/>
    <c:dispBlanksAs val="zero"/>
    <c:showDLblsOverMax val="0"/>
  </c:chart>
  <c:spPr>
    <a:solidFill>
      <a:schemeClr val="bg1"/>
    </a:solidFill>
    <a:ln>
      <a:solidFill>
        <a:schemeClr val="bg1">
          <a:lumMod val="75000"/>
        </a:schemeClr>
      </a:solidFill>
    </a:ln>
  </c:spPr>
  <c:txPr>
    <a:bodyPr/>
    <a:lstStyle/>
    <a:p>
      <a:pPr>
        <a:defRPr sz="1800"/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000">
                <a:solidFill>
                  <a:schemeClr val="tx1"/>
                </a:solidFill>
              </a:defRPr>
            </a:pPr>
            <a:r>
              <a:rPr lang="en-US" sz="4000">
                <a:solidFill>
                  <a:schemeClr val="tx1"/>
                </a:solidFill>
              </a:rPr>
              <a:t>2012 U.S.</a:t>
            </a:r>
            <a:r>
              <a:rPr lang="en-US" sz="4000" baseline="0">
                <a:solidFill>
                  <a:schemeClr val="tx1"/>
                </a:solidFill>
              </a:rPr>
              <a:t> Ad Spending vs. Consumer Time Spent </a:t>
            </a:r>
          </a:p>
          <a:p>
            <a:pPr>
              <a:defRPr sz="4000">
                <a:solidFill>
                  <a:schemeClr val="tx1"/>
                </a:solidFill>
              </a:defRPr>
            </a:pPr>
            <a:r>
              <a:rPr lang="en-US" sz="2400" b="0" i="1" baseline="0">
                <a:solidFill>
                  <a:schemeClr val="tx1"/>
                </a:solidFill>
              </a:rPr>
              <a:t>By Media</a:t>
            </a:r>
            <a:endParaRPr lang="en-US" sz="2400" b="0" i="1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 Spend vs Consumer Time'!$B$2</c:f>
              <c:strCache>
                <c:ptCount val="1"/>
                <c:pt idx="0">
                  <c:v>Time Spent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'Ad Spend vs Consumer Time'!$A$3:$A$7</c:f>
              <c:strCache>
                <c:ptCount val="5"/>
                <c:pt idx="0">
                  <c:v>Print</c:v>
                </c:pt>
                <c:pt idx="1">
                  <c:v>TV</c:v>
                </c:pt>
                <c:pt idx="2">
                  <c:v>Web</c:v>
                </c:pt>
                <c:pt idx="3">
                  <c:v>Radio</c:v>
                </c:pt>
                <c:pt idx="4">
                  <c:v>Mobile</c:v>
                </c:pt>
              </c:strCache>
            </c:strRef>
          </c:cat>
          <c:val>
            <c:numRef>
              <c:f>'Ad Spend vs Consumer Time'!$B$3:$B$7</c:f>
              <c:numCache>
                <c:formatCode>0%</c:formatCode>
                <c:ptCount val="5"/>
                <c:pt idx="0">
                  <c:v>0.06</c:v>
                </c:pt>
                <c:pt idx="1">
                  <c:v>0.42</c:v>
                </c:pt>
                <c:pt idx="2">
                  <c:v>0.26</c:v>
                </c:pt>
                <c:pt idx="3">
                  <c:v>0.14</c:v>
                </c:pt>
                <c:pt idx="4">
                  <c:v>0.12</c:v>
                </c:pt>
              </c:numCache>
            </c:numRef>
          </c:val>
        </c:ser>
        <c:ser>
          <c:idx val="1"/>
          <c:order val="1"/>
          <c:tx>
            <c:strRef>
              <c:f>'Ad Spend vs Consumer Time'!$C$2</c:f>
              <c:strCache>
                <c:ptCount val="1"/>
                <c:pt idx="0">
                  <c:v>Ad Spend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txPr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'Ad Spend vs Consumer Time'!$A$3:$A$7</c:f>
              <c:strCache>
                <c:ptCount val="5"/>
                <c:pt idx="0">
                  <c:v>Print</c:v>
                </c:pt>
                <c:pt idx="1">
                  <c:v>TV</c:v>
                </c:pt>
                <c:pt idx="2">
                  <c:v>Web</c:v>
                </c:pt>
                <c:pt idx="3">
                  <c:v>Radio</c:v>
                </c:pt>
                <c:pt idx="4">
                  <c:v>Mobile</c:v>
                </c:pt>
              </c:strCache>
            </c:strRef>
          </c:cat>
          <c:val>
            <c:numRef>
              <c:f>'Ad Spend vs Consumer Time'!$C$3:$C$7</c:f>
              <c:numCache>
                <c:formatCode>0%</c:formatCode>
                <c:ptCount val="5"/>
                <c:pt idx="0">
                  <c:v>0.23</c:v>
                </c:pt>
                <c:pt idx="1">
                  <c:v>0.43</c:v>
                </c:pt>
                <c:pt idx="2">
                  <c:v>0.22</c:v>
                </c:pt>
                <c:pt idx="3">
                  <c:v>0.1</c:v>
                </c:pt>
                <c:pt idx="4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8542632"/>
        <c:axId val="2068548312"/>
      </c:barChart>
      <c:catAx>
        <c:axId val="2068542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 i="1">
                    <a:solidFill>
                      <a:srgbClr val="000000"/>
                    </a:solidFill>
                  </a:defRPr>
                </a:pPr>
                <a:r>
                  <a:rPr lang="en-US" sz="1800" b="0" i="1">
                    <a:solidFill>
                      <a:srgbClr val="000000"/>
                    </a:solidFill>
                  </a:rPr>
                  <a:t>Source: Mary Meeker, IAB, eMarketer</a:t>
                </a:r>
              </a:p>
            </c:rich>
          </c:tx>
          <c:layout>
            <c:manualLayout>
              <c:xMode val="edge"/>
              <c:yMode val="edge"/>
              <c:x val="0.046588370576563"/>
              <c:y val="0.963439302707482"/>
            </c:manualLayout>
          </c:layout>
          <c:overlay val="0"/>
          <c:spPr>
            <a:solidFill>
              <a:schemeClr val="bg1"/>
            </a:solidFill>
          </c:spPr>
        </c:title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68548312"/>
        <c:crosses val="autoZero"/>
        <c:auto val="1"/>
        <c:lblAlgn val="ctr"/>
        <c:lblOffset val="100"/>
        <c:noMultiLvlLbl val="0"/>
      </c:catAx>
      <c:valAx>
        <c:axId val="2068548312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6854263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400">
                <a:solidFill>
                  <a:srgbClr val="000000"/>
                </a:solidFill>
              </a:defRPr>
            </a:pPr>
            <a:r>
              <a:rPr lang="en-US" sz="4400">
                <a:solidFill>
                  <a:srgbClr val="000000"/>
                </a:solidFill>
              </a:rPr>
              <a:t>U.S.</a:t>
            </a:r>
            <a:r>
              <a:rPr lang="en-US" sz="4400" baseline="0">
                <a:solidFill>
                  <a:srgbClr val="000000"/>
                </a:solidFill>
              </a:rPr>
              <a:t> Advertising</a:t>
            </a:r>
            <a:endParaRPr lang="en-US" sz="4400">
              <a:solidFill>
                <a:srgbClr val="000000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889217333356716"/>
          <c:y val="0.104902899110245"/>
          <c:w val="0.870524455044456"/>
          <c:h val="0.793189380403846"/>
        </c:manualLayout>
      </c:layout>
      <c:areaChart>
        <c:grouping val="standard"/>
        <c:varyColors val="0"/>
        <c:ser>
          <c:idx val="1"/>
          <c:order val="0"/>
          <c:spPr>
            <a:solidFill>
              <a:schemeClr val="accent2"/>
            </a:solidFill>
          </c:spPr>
          <c:dLbls>
            <c:dLbl>
              <c:idx val="0"/>
              <c:layout>
                <c:manualLayout>
                  <c:x val="0.0193885160328113"/>
                  <c:y val="-0.00228050171037628"/>
                </c:manualLayout>
              </c:layout>
              <c:tx>
                <c:rich>
                  <a:bodyPr/>
                  <a:lstStyle/>
                  <a:p>
                    <a:r>
                      <a:rPr lang="en-US" sz="2800">
                        <a:solidFill>
                          <a:srgbClr val="000000"/>
                        </a:solidFill>
                      </a:rPr>
                      <a:t>Offline</a:t>
                    </a:r>
                    <a:endParaRPr lang="en-US">
                      <a:solidFill>
                        <a:srgbClr val="FFFFFF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800" b="1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'U.S. digital &amp; mobile ad spend'!$B$9:$T$9</c:f>
              <c:strCach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2013E</c:v>
                </c:pt>
              </c:strCache>
            </c:strRef>
          </c:cat>
          <c:val>
            <c:numRef>
              <c:f>'U.S. digital &amp; mobile ad spend'!$B$10:$T$10</c:f>
              <c:numCache>
                <c:formatCode>"$"#,##0</c:formatCode>
                <c:ptCount val="19"/>
                <c:pt idx="0">
                  <c:v>81.35166666666667</c:v>
                </c:pt>
                <c:pt idx="1">
                  <c:v>88.31083333333333</c:v>
                </c:pt>
                <c:pt idx="2">
                  <c:v>91.68249999999999</c:v>
                </c:pt>
                <c:pt idx="3">
                  <c:v>106.98</c:v>
                </c:pt>
                <c:pt idx="4">
                  <c:v>120.906</c:v>
                </c:pt>
                <c:pt idx="5">
                  <c:v>138.996</c:v>
                </c:pt>
                <c:pt idx="6">
                  <c:v>124.187</c:v>
                </c:pt>
                <c:pt idx="7">
                  <c:v>126.1641</c:v>
                </c:pt>
                <c:pt idx="8">
                  <c:v>131.958</c:v>
                </c:pt>
                <c:pt idx="9">
                  <c:v>142.339</c:v>
                </c:pt>
                <c:pt idx="10">
                  <c:v>149.0963134328358</c:v>
                </c:pt>
                <c:pt idx="11">
                  <c:v>157.649</c:v>
                </c:pt>
                <c:pt idx="12">
                  <c:v>164.103</c:v>
                </c:pt>
                <c:pt idx="13">
                  <c:v>156.924</c:v>
                </c:pt>
                <c:pt idx="14">
                  <c:v>140.318</c:v>
                </c:pt>
                <c:pt idx="15">
                  <c:v>147.595</c:v>
                </c:pt>
                <c:pt idx="16">
                  <c:v>148.1012658227848</c:v>
                </c:pt>
                <c:pt idx="17">
                  <c:v>152.5443037974684</c:v>
                </c:pt>
                <c:pt idx="18" formatCode="_(&quot;$&quot;* #,##0_);_(&quot;$&quot;* \(#,##0\);_(&quot;$&quot;* &quot;-&quot;??_);_(@_)">
                  <c:v>166.257</c:v>
                </c:pt>
              </c:numCache>
            </c:numRef>
          </c:val>
        </c:ser>
        <c:ser>
          <c:idx val="2"/>
          <c:order val="1"/>
          <c:spPr>
            <a:solidFill>
              <a:schemeClr val="accent3"/>
            </a:solidFill>
          </c:spPr>
          <c:dLbls>
            <c:dLbl>
              <c:idx val="0"/>
              <c:layout>
                <c:manualLayout>
                  <c:x val="0.249067859806115"/>
                  <c:y val="-0.0319270239452681"/>
                </c:manualLayout>
              </c:layout>
              <c:tx>
                <c:rich>
                  <a:bodyPr/>
                  <a:lstStyle/>
                  <a:p>
                    <a:r>
                      <a:rPr lang="en-US" sz="2800" b="1">
                        <a:solidFill>
                          <a:srgbClr val="000000"/>
                        </a:solidFill>
                      </a:rPr>
                      <a:t>Online</a:t>
                    </a:r>
                    <a:endParaRPr lang="en-US" sz="1600" b="1">
                      <a:solidFill>
                        <a:srgbClr val="FFFFFF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8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'U.S. digital &amp; mobile ad spend'!$B$9:$T$9</c:f>
              <c:strCach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2013E</c:v>
                </c:pt>
              </c:strCache>
            </c:strRef>
          </c:cat>
          <c:val>
            <c:numRef>
              <c:f>'U.S. digital &amp; mobile ad spend'!$B$11:$T$11</c:f>
              <c:numCache>
                <c:formatCode>"$"#,##0</c:formatCode>
                <c:ptCount val="19"/>
                <c:pt idx="0">
                  <c:v>0.055</c:v>
                </c:pt>
                <c:pt idx="1">
                  <c:v>0.267</c:v>
                </c:pt>
                <c:pt idx="2">
                  <c:v>0.907</c:v>
                </c:pt>
                <c:pt idx="3">
                  <c:v>1.92</c:v>
                </c:pt>
                <c:pt idx="4">
                  <c:v>4.621</c:v>
                </c:pt>
                <c:pt idx="5">
                  <c:v>8.087</c:v>
                </c:pt>
                <c:pt idx="6">
                  <c:v>7.134</c:v>
                </c:pt>
                <c:pt idx="7">
                  <c:v>6.0101</c:v>
                </c:pt>
                <c:pt idx="8">
                  <c:v>7.267</c:v>
                </c:pt>
                <c:pt idx="9">
                  <c:v>9.626</c:v>
                </c:pt>
                <c:pt idx="10">
                  <c:v>12.53731343283582</c:v>
                </c:pt>
                <c:pt idx="11">
                  <c:v>16.8</c:v>
                </c:pt>
                <c:pt idx="12">
                  <c:v>21.2</c:v>
                </c:pt>
                <c:pt idx="13">
                  <c:v>23.4</c:v>
                </c:pt>
                <c:pt idx="14">
                  <c:v>22.7</c:v>
                </c:pt>
                <c:pt idx="15">
                  <c:v>26.04</c:v>
                </c:pt>
                <c:pt idx="16">
                  <c:v>31.74</c:v>
                </c:pt>
                <c:pt idx="17">
                  <c:v>36.6</c:v>
                </c:pt>
                <c:pt idx="18" formatCode="_(&quot;$&quot;* #,##0_);_(&quot;$&quot;* \(#,##0\);_(&quot;$&quot;* &quot;-&quot;??_);_(@_)">
                  <c:v>40.896</c:v>
                </c:pt>
              </c:numCache>
            </c:numRef>
          </c:val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2099490440"/>
        <c:axId val="2099493528"/>
      </c:areaChart>
      <c:catAx>
        <c:axId val="2099490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200">
                <a:solidFill>
                  <a:srgbClr val="000000"/>
                </a:solidFill>
              </a:defRPr>
            </a:pPr>
            <a:endParaRPr lang="en-US"/>
          </a:p>
        </c:txPr>
        <c:crossAx val="2099493528"/>
        <c:crosses val="autoZero"/>
        <c:auto val="1"/>
        <c:lblAlgn val="ctr"/>
        <c:lblOffset val="100"/>
        <c:noMultiLvlLbl val="0"/>
      </c:catAx>
      <c:valAx>
        <c:axId val="20994935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200">
                    <a:solidFill>
                      <a:srgbClr val="000000"/>
                    </a:solidFill>
                  </a:defRPr>
                </a:pPr>
                <a:r>
                  <a:rPr lang="en-US" sz="2200">
                    <a:solidFill>
                      <a:srgbClr val="000000"/>
                    </a:solidFill>
                  </a:rPr>
                  <a:t>(billions)</a:t>
                </a:r>
              </a:p>
            </c:rich>
          </c:tx>
          <c:overlay val="0"/>
        </c:title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2200">
                <a:solidFill>
                  <a:srgbClr val="000000"/>
                </a:solidFill>
              </a:defRPr>
            </a:pPr>
            <a:endParaRPr lang="en-US"/>
          </a:p>
        </c:txPr>
        <c:crossAx val="2099490440"/>
        <c:crosses val="autoZero"/>
        <c:crossBetween val="midCat"/>
      </c:valAx>
      <c:spPr>
        <a:noFill/>
      </c:spPr>
    </c:plotArea>
    <c:plotVisOnly val="1"/>
    <c:dispBlanksAs val="zero"/>
    <c:showDLblsOverMax val="0"/>
  </c:chart>
  <c:spPr>
    <a:solidFill>
      <a:srgbClr val="FFFFFF"/>
    </a:solidFill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600">
                <a:solidFill>
                  <a:srgbClr val="FFFFFF"/>
                </a:solidFill>
              </a:defRPr>
            </a:pPr>
            <a:r>
              <a:rPr lang="en-US" sz="4600">
                <a:solidFill>
                  <a:srgbClr val="FFFFFF"/>
                </a:solidFill>
              </a:rPr>
              <a:t>U.S. Advertising</a:t>
            </a:r>
          </a:p>
        </c:rich>
      </c:tx>
      <c:layout>
        <c:manualLayout>
          <c:xMode val="edge"/>
          <c:yMode val="edge"/>
          <c:x val="0.361425177008941"/>
          <c:y val="0.016266596525736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24325748885995"/>
          <c:y val="0.103466075043171"/>
          <c:w val="0.864204357169565"/>
          <c:h val="0.789793854282218"/>
        </c:manualLayout>
      </c:layout>
      <c:areaChart>
        <c:grouping val="standard"/>
        <c:varyColors val="0"/>
        <c:ser>
          <c:idx val="0"/>
          <c:order val="0"/>
          <c:spPr>
            <a:solidFill>
              <a:schemeClr val="accent2"/>
            </a:solidFill>
          </c:spPr>
          <c:dLbls>
            <c:dLbl>
              <c:idx val="0"/>
              <c:layout>
                <c:manualLayout>
                  <c:x val="0.028871787099593"/>
                  <c:y val="-0.0390502296233132"/>
                </c:manualLayout>
              </c:layout>
              <c:tx>
                <c:rich>
                  <a:bodyPr/>
                  <a:lstStyle/>
                  <a:p>
                    <a:r>
                      <a:rPr lang="en-US" sz="2000" b="1">
                        <a:solidFill>
                          <a:srgbClr val="FFFFFF"/>
                        </a:solidFill>
                      </a:rPr>
                      <a:t>Offline</a:t>
                    </a:r>
                    <a:endParaRPr lang="en-US" sz="1700" b="1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solidFill>
                      <a:srgbClr val="FFFFFF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'U.S. digital &amp; mobile ad spend'!$B$9:$T$9</c:f>
              <c:strCach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2013E</c:v>
                </c:pt>
              </c:strCache>
            </c:strRef>
          </c:cat>
          <c:val>
            <c:numRef>
              <c:f>'U.S. digital &amp; mobile ad spend'!$B$10:$T$10</c:f>
              <c:numCache>
                <c:formatCode>"$"#,##0</c:formatCode>
                <c:ptCount val="19"/>
                <c:pt idx="0">
                  <c:v>81.35166666666667</c:v>
                </c:pt>
                <c:pt idx="1">
                  <c:v>88.31083333333333</c:v>
                </c:pt>
                <c:pt idx="2">
                  <c:v>91.68249999999999</c:v>
                </c:pt>
                <c:pt idx="3">
                  <c:v>106.98</c:v>
                </c:pt>
                <c:pt idx="4">
                  <c:v>120.906</c:v>
                </c:pt>
                <c:pt idx="5">
                  <c:v>138.996</c:v>
                </c:pt>
                <c:pt idx="6">
                  <c:v>124.187</c:v>
                </c:pt>
                <c:pt idx="7">
                  <c:v>126.1641</c:v>
                </c:pt>
                <c:pt idx="8">
                  <c:v>131.958</c:v>
                </c:pt>
                <c:pt idx="9">
                  <c:v>142.339</c:v>
                </c:pt>
                <c:pt idx="10">
                  <c:v>149.0963134328358</c:v>
                </c:pt>
                <c:pt idx="11">
                  <c:v>157.649</c:v>
                </c:pt>
                <c:pt idx="12">
                  <c:v>164.103</c:v>
                </c:pt>
                <c:pt idx="13">
                  <c:v>156.924</c:v>
                </c:pt>
                <c:pt idx="14">
                  <c:v>140.318</c:v>
                </c:pt>
                <c:pt idx="15">
                  <c:v>147.595</c:v>
                </c:pt>
                <c:pt idx="16">
                  <c:v>148.1012658227848</c:v>
                </c:pt>
                <c:pt idx="17">
                  <c:v>152.5443037974684</c:v>
                </c:pt>
                <c:pt idx="18" formatCode="_(&quot;$&quot;* #,##0_);_(&quot;$&quot;* \(#,##0\);_(&quot;$&quot;* &quot;-&quot;??_);_(@_)">
                  <c:v>166.257</c:v>
                </c:pt>
              </c:numCache>
            </c:numRef>
          </c:val>
        </c:ser>
        <c:ser>
          <c:idx val="1"/>
          <c:order val="1"/>
          <c:spPr>
            <a:solidFill>
              <a:schemeClr val="accent3"/>
            </a:solidFill>
          </c:spPr>
          <c:dLbls>
            <c:dLbl>
              <c:idx val="0"/>
              <c:layout>
                <c:manualLayout>
                  <c:x val="0.170210986679721"/>
                  <c:y val="-0.114141393560919"/>
                </c:manualLayout>
              </c:layout>
              <c:tx>
                <c:rich>
                  <a:bodyPr/>
                  <a:lstStyle/>
                  <a:p>
                    <a:r>
                      <a:rPr lang="en-US" sz="2000" b="1">
                        <a:solidFill>
                          <a:srgbClr val="FFFFFF"/>
                        </a:solidFill>
                      </a:rPr>
                      <a:t>All Other Online</a:t>
                    </a:r>
                    <a:endParaRPr lang="en-US" sz="1400" b="1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solidFill>
                      <a:srgbClr val="FFFFFF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'U.S. digital &amp; mobile ad spend'!$B$9:$T$9</c:f>
              <c:strCach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2013E</c:v>
                </c:pt>
              </c:strCache>
            </c:strRef>
          </c:cat>
          <c:val>
            <c:numRef>
              <c:f>'U.S. digital &amp; mobile ad spend'!$B$11:$T$11</c:f>
              <c:numCache>
                <c:formatCode>"$"#,##0</c:formatCode>
                <c:ptCount val="19"/>
                <c:pt idx="0">
                  <c:v>0.055</c:v>
                </c:pt>
                <c:pt idx="1">
                  <c:v>0.267</c:v>
                </c:pt>
                <c:pt idx="2">
                  <c:v>0.907</c:v>
                </c:pt>
                <c:pt idx="3">
                  <c:v>1.92</c:v>
                </c:pt>
                <c:pt idx="4">
                  <c:v>4.621</c:v>
                </c:pt>
                <c:pt idx="5">
                  <c:v>8.087</c:v>
                </c:pt>
                <c:pt idx="6">
                  <c:v>7.134</c:v>
                </c:pt>
                <c:pt idx="7">
                  <c:v>6.0101</c:v>
                </c:pt>
                <c:pt idx="8">
                  <c:v>7.267</c:v>
                </c:pt>
                <c:pt idx="9">
                  <c:v>9.626</c:v>
                </c:pt>
                <c:pt idx="10">
                  <c:v>12.53731343283582</c:v>
                </c:pt>
                <c:pt idx="11">
                  <c:v>16.8</c:v>
                </c:pt>
                <c:pt idx="12">
                  <c:v>21.2</c:v>
                </c:pt>
                <c:pt idx="13">
                  <c:v>23.4</c:v>
                </c:pt>
                <c:pt idx="14">
                  <c:v>22.7</c:v>
                </c:pt>
                <c:pt idx="15">
                  <c:v>26.04</c:v>
                </c:pt>
                <c:pt idx="16">
                  <c:v>31.74</c:v>
                </c:pt>
                <c:pt idx="17">
                  <c:v>36.6</c:v>
                </c:pt>
                <c:pt idx="18" formatCode="_(&quot;$&quot;* #,##0_);_(&quot;$&quot;* \(#,##0\);_(&quot;$&quot;* &quot;-&quot;??_);_(@_)">
                  <c:v>40.896</c:v>
                </c:pt>
              </c:numCache>
            </c:numRef>
          </c:val>
        </c:ser>
        <c:ser>
          <c:idx val="2"/>
          <c:order val="2"/>
          <c:spPr>
            <a:solidFill>
              <a:schemeClr val="accent6"/>
            </a:solidFill>
          </c:spPr>
          <c:dLbls>
            <c:dLbl>
              <c:idx val="0"/>
              <c:layout>
                <c:manualLayout>
                  <c:x val="0.34879322254402"/>
                  <c:y val="-0.0557029324839351"/>
                </c:manualLayout>
              </c:layout>
              <c:tx>
                <c:rich>
                  <a:bodyPr/>
                  <a:lstStyle/>
                  <a:p>
                    <a:r>
                      <a:rPr lang="en-US" sz="2000" b="1">
                        <a:solidFill>
                          <a:srgbClr val="FFFFFF"/>
                        </a:solidFill>
                      </a:rPr>
                      <a:t>Mobile</a:t>
                    </a:r>
                    <a:endParaRPr lang="en-US" sz="1300" b="1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solidFill>
                      <a:srgbClr val="FFFFFF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'U.S. digital &amp; mobile ad spend'!$B$9:$T$9</c:f>
              <c:strCach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2013E</c:v>
                </c:pt>
              </c:strCache>
            </c:strRef>
          </c:cat>
          <c:val>
            <c:numRef>
              <c:f>'U.S. digital &amp; mobile ad spend'!$B$12:$T$12</c:f>
              <c:numCache>
                <c:formatCode>General</c:formatCode>
                <c:ptCount val="19"/>
                <c:pt idx="12" formatCode="&quot;$&quot;#,##0">
                  <c:v>0.08</c:v>
                </c:pt>
                <c:pt idx="13" formatCode="&quot;$&quot;#,##0">
                  <c:v>0.16</c:v>
                </c:pt>
                <c:pt idx="14" formatCode="&quot;$&quot;#,##0">
                  <c:v>0.392</c:v>
                </c:pt>
                <c:pt idx="15" formatCode="&quot;$&quot;#,##0">
                  <c:v>0.806</c:v>
                </c:pt>
                <c:pt idx="16" formatCode="&quot;$&quot;#,##0">
                  <c:v>1.596</c:v>
                </c:pt>
                <c:pt idx="17" formatCode="&quot;$&quot;#,##0">
                  <c:v>3.37</c:v>
                </c:pt>
                <c:pt idx="18" formatCode="_(&quot;$&quot;* #,##0_);_(&quot;$&quot;* \(#,##0\);_(&quot;$&quot;* &quot;-&quot;??_);_(@_)">
                  <c:v>6.9516</c:v>
                </c:pt>
              </c:numCache>
            </c:numRef>
          </c:val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2099564456"/>
        <c:axId val="2099567656"/>
      </c:areaChart>
      <c:catAx>
        <c:axId val="2099564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FFFFFF"/>
                </a:solidFill>
              </a:defRPr>
            </a:pPr>
            <a:endParaRPr lang="en-US"/>
          </a:p>
        </c:txPr>
        <c:crossAx val="2099567656"/>
        <c:crosses val="autoZero"/>
        <c:auto val="1"/>
        <c:lblAlgn val="ctr"/>
        <c:lblOffset val="100"/>
        <c:noMultiLvlLbl val="0"/>
      </c:catAx>
      <c:valAx>
        <c:axId val="20995676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>
                    <a:solidFill>
                      <a:srgbClr val="FFFFFF"/>
                    </a:solidFill>
                  </a:defRPr>
                </a:pPr>
                <a:r>
                  <a:rPr lang="en-US" sz="2000">
                    <a:solidFill>
                      <a:srgbClr val="FFFFFF"/>
                    </a:solidFill>
                  </a:rPr>
                  <a:t>(billions)</a:t>
                </a:r>
              </a:p>
            </c:rich>
          </c:tx>
          <c:overlay val="0"/>
        </c:title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FFFFFF"/>
                </a:solidFill>
              </a:defRPr>
            </a:pPr>
            <a:endParaRPr lang="en-US"/>
          </a:p>
        </c:txPr>
        <c:crossAx val="2099564456"/>
        <c:crosses val="autoZero"/>
        <c:crossBetween val="midCat"/>
      </c:valAx>
      <c:spPr>
        <a:noFill/>
        <a:ln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500">
                <a:solidFill>
                  <a:srgbClr val="000000"/>
                </a:solidFill>
              </a:defRPr>
            </a:pPr>
            <a:r>
              <a:rPr lang="en-US" sz="4500">
                <a:solidFill>
                  <a:srgbClr val="000000"/>
                </a:solidFill>
              </a:rPr>
              <a:t>U.S. Mobile Advertising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778438875541448"/>
          <c:y val="0.122158257772313"/>
          <c:w val="0.882719814811567"/>
          <c:h val="0.795226332773977"/>
        </c:manualLayout>
      </c:layout>
      <c:areaChart>
        <c:grouping val="standard"/>
        <c:varyColors val="0"/>
        <c:ser>
          <c:idx val="1"/>
          <c:order val="0"/>
          <c:spPr>
            <a:solidFill>
              <a:schemeClr val="accent6"/>
            </a:solidFill>
            <a:ln w="25400">
              <a:noFill/>
            </a:ln>
          </c:spPr>
          <c:cat>
            <c:numRef>
              <c:f>'U.S. digital &amp; mobile ad spend'!$N$9:$S$9</c:f>
              <c:numCache>
                <c:formatCode>General</c:formatCode>
                <c:ptCount val="6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</c:numCache>
            </c:numRef>
          </c:cat>
          <c:val>
            <c:numRef>
              <c:f>'U.S. digital &amp; mobile ad spend'!$N$12:$S$12</c:f>
              <c:numCache>
                <c:formatCode>"$"#,##0</c:formatCode>
                <c:ptCount val="6"/>
                <c:pt idx="0">
                  <c:v>0.08</c:v>
                </c:pt>
                <c:pt idx="1">
                  <c:v>0.16</c:v>
                </c:pt>
                <c:pt idx="2">
                  <c:v>0.392</c:v>
                </c:pt>
                <c:pt idx="3">
                  <c:v>0.806</c:v>
                </c:pt>
                <c:pt idx="4">
                  <c:v>1.596</c:v>
                </c:pt>
                <c:pt idx="5">
                  <c:v>3.37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1720776"/>
        <c:axId val="2091723928"/>
      </c:areaChart>
      <c:catAx>
        <c:axId val="2091720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1723928"/>
        <c:crosses val="autoZero"/>
        <c:auto val="1"/>
        <c:lblAlgn val="ctr"/>
        <c:lblOffset val="100"/>
        <c:noMultiLvlLbl val="0"/>
      </c:catAx>
      <c:valAx>
        <c:axId val="20917239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r>
                  <a:rPr lang="en-US" sz="2000">
                    <a:solidFill>
                      <a:srgbClr val="000000"/>
                    </a:solidFill>
                  </a:rPr>
                  <a:t>(billions)</a:t>
                </a:r>
              </a:p>
            </c:rich>
          </c:tx>
          <c:overlay val="0"/>
        </c:title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1720776"/>
        <c:crosses val="autoZero"/>
        <c:crossBetween val="midCat"/>
        <c:majorUnit val="1.0"/>
      </c:valAx>
      <c:spPr>
        <a:noFill/>
      </c:spPr>
    </c:plotArea>
    <c:plotVisOnly val="1"/>
    <c:dispBlanksAs val="zero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.0" l="0.75" r="0.75" t="1.0" header="0.5" footer="0.5"/>
    <c:pageSetup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500">
                <a:solidFill>
                  <a:srgbClr val="FFFFFF"/>
                </a:solidFill>
              </a:defRPr>
            </a:pPr>
            <a:r>
              <a:rPr lang="en-US" sz="4500">
                <a:solidFill>
                  <a:srgbClr val="FFFFFF"/>
                </a:solidFill>
              </a:rPr>
              <a:t>U.S. Digital Advertising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903160455196907"/>
          <c:y val="0.122158257772313"/>
          <c:w val="0.870247640364751"/>
          <c:h val="0.786067371039762"/>
        </c:manualLayout>
      </c:layout>
      <c:areaChart>
        <c:grouping val="standar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</c:spPr>
          <c:cat>
            <c:numRef>
              <c:f>'U.S. digital &amp; mobile ad spend'!$B$9:$S$9</c:f>
              <c:numCache>
                <c:formatCode>General</c:formatCode>
                <c:ptCount val="18"/>
                <c:pt idx="0">
                  <c:v>1995.0</c:v>
                </c:pt>
                <c:pt idx="1">
                  <c:v>1996.0</c:v>
                </c:pt>
                <c:pt idx="2">
                  <c:v>1997.0</c:v>
                </c:pt>
                <c:pt idx="3">
                  <c:v>1998.0</c:v>
                </c:pt>
                <c:pt idx="4">
                  <c:v>1999.0</c:v>
                </c:pt>
                <c:pt idx="5">
                  <c:v>2000.0</c:v>
                </c:pt>
                <c:pt idx="6">
                  <c:v>2001.0</c:v>
                </c:pt>
                <c:pt idx="7">
                  <c:v>2002.0</c:v>
                </c:pt>
                <c:pt idx="8">
                  <c:v>2003.0</c:v>
                </c:pt>
                <c:pt idx="9">
                  <c:v>2004.0</c:v>
                </c:pt>
                <c:pt idx="10">
                  <c:v>2005.0</c:v>
                </c:pt>
                <c:pt idx="11">
                  <c:v>2006.0</c:v>
                </c:pt>
                <c:pt idx="12">
                  <c:v>2007.0</c:v>
                </c:pt>
                <c:pt idx="13">
                  <c:v>2008.0</c:v>
                </c:pt>
                <c:pt idx="14">
                  <c:v>2009.0</c:v>
                </c:pt>
                <c:pt idx="15">
                  <c:v>2010.0</c:v>
                </c:pt>
                <c:pt idx="16">
                  <c:v>2011.0</c:v>
                </c:pt>
                <c:pt idx="17">
                  <c:v>2012.0</c:v>
                </c:pt>
              </c:numCache>
            </c:numRef>
          </c:cat>
          <c:val>
            <c:numRef>
              <c:f>'U.S. digital &amp; mobile ad spend'!$B$11:$S$11</c:f>
              <c:numCache>
                <c:formatCode>"$"#,##0</c:formatCode>
                <c:ptCount val="18"/>
                <c:pt idx="0">
                  <c:v>0.055</c:v>
                </c:pt>
                <c:pt idx="1">
                  <c:v>0.267</c:v>
                </c:pt>
                <c:pt idx="2">
                  <c:v>0.907</c:v>
                </c:pt>
                <c:pt idx="3">
                  <c:v>1.92</c:v>
                </c:pt>
                <c:pt idx="4">
                  <c:v>4.621</c:v>
                </c:pt>
                <c:pt idx="5">
                  <c:v>8.087</c:v>
                </c:pt>
                <c:pt idx="6">
                  <c:v>7.134</c:v>
                </c:pt>
                <c:pt idx="7">
                  <c:v>6.0101</c:v>
                </c:pt>
                <c:pt idx="8">
                  <c:v>7.267</c:v>
                </c:pt>
                <c:pt idx="9">
                  <c:v>9.626</c:v>
                </c:pt>
                <c:pt idx="10">
                  <c:v>12.53731343283582</c:v>
                </c:pt>
                <c:pt idx="11">
                  <c:v>16.8</c:v>
                </c:pt>
                <c:pt idx="12">
                  <c:v>21.2</c:v>
                </c:pt>
                <c:pt idx="13">
                  <c:v>23.4</c:v>
                </c:pt>
                <c:pt idx="14">
                  <c:v>22.7</c:v>
                </c:pt>
                <c:pt idx="15">
                  <c:v>26.04</c:v>
                </c:pt>
                <c:pt idx="16">
                  <c:v>31.74</c:v>
                </c:pt>
                <c:pt idx="17">
                  <c:v>36.6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1763016"/>
        <c:axId val="2091766072"/>
      </c:areaChart>
      <c:catAx>
        <c:axId val="2091763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FFFFFF"/>
                </a:solidFill>
              </a:defRPr>
            </a:pPr>
            <a:endParaRPr lang="en-US"/>
          </a:p>
        </c:txPr>
        <c:crossAx val="2091766072"/>
        <c:crosses val="autoZero"/>
        <c:auto val="1"/>
        <c:lblAlgn val="ctr"/>
        <c:lblOffset val="100"/>
        <c:noMultiLvlLbl val="0"/>
      </c:catAx>
      <c:valAx>
        <c:axId val="20917660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>
                    <a:solidFill>
                      <a:srgbClr val="FFFFFF"/>
                    </a:solidFill>
                  </a:defRPr>
                </a:pPr>
                <a:r>
                  <a:rPr lang="en-US" sz="2000">
                    <a:solidFill>
                      <a:srgbClr val="FFFFFF"/>
                    </a:solidFill>
                  </a:rPr>
                  <a:t>(billions)</a:t>
                </a:r>
              </a:p>
            </c:rich>
          </c:tx>
          <c:overlay val="0"/>
        </c:title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FFFFFF"/>
                </a:solidFill>
              </a:defRPr>
            </a:pPr>
            <a:endParaRPr lang="en-US"/>
          </a:p>
        </c:txPr>
        <c:crossAx val="2091763016"/>
        <c:crosses val="autoZero"/>
        <c:crossBetween val="midCat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400">
                <a:solidFill>
                  <a:srgbClr val="000000"/>
                </a:solidFill>
              </a:defRPr>
            </a:pPr>
            <a:r>
              <a:rPr lang="en-US" sz="4400">
                <a:solidFill>
                  <a:srgbClr val="000000"/>
                </a:solidFill>
              </a:rPr>
              <a:t>U.S. Digital Advertising Revenues</a:t>
            </a:r>
          </a:p>
        </c:rich>
      </c:tx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3"/>
            </a:solidFill>
          </c:spPr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2000" b="1" i="0">
                    <a:solidFill>
                      <a:srgbClr val="FFFFFF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'U.S. digital &amp; mobile ad spend'!$B$9:$T$9</c:f>
              <c:strCach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2013E</c:v>
                </c:pt>
              </c:strCache>
            </c:strRef>
          </c:cat>
          <c:val>
            <c:numRef>
              <c:f>'U.S. digital &amp; mobile ad spend'!$B$11:$T$11</c:f>
              <c:numCache>
                <c:formatCode>"$"#,##0</c:formatCode>
                <c:ptCount val="19"/>
                <c:pt idx="0">
                  <c:v>0.055</c:v>
                </c:pt>
                <c:pt idx="1">
                  <c:v>0.267</c:v>
                </c:pt>
                <c:pt idx="2">
                  <c:v>0.907</c:v>
                </c:pt>
                <c:pt idx="3">
                  <c:v>1.92</c:v>
                </c:pt>
                <c:pt idx="4">
                  <c:v>4.621</c:v>
                </c:pt>
                <c:pt idx="5">
                  <c:v>8.087</c:v>
                </c:pt>
                <c:pt idx="6">
                  <c:v>7.134</c:v>
                </c:pt>
                <c:pt idx="7">
                  <c:v>6.0101</c:v>
                </c:pt>
                <c:pt idx="8">
                  <c:v>7.267</c:v>
                </c:pt>
                <c:pt idx="9">
                  <c:v>9.626</c:v>
                </c:pt>
                <c:pt idx="10">
                  <c:v>12.53731343283582</c:v>
                </c:pt>
                <c:pt idx="11">
                  <c:v>16.8</c:v>
                </c:pt>
                <c:pt idx="12">
                  <c:v>21.2</c:v>
                </c:pt>
                <c:pt idx="13">
                  <c:v>23.4</c:v>
                </c:pt>
                <c:pt idx="14">
                  <c:v>22.7</c:v>
                </c:pt>
                <c:pt idx="15">
                  <c:v>26.04</c:v>
                </c:pt>
                <c:pt idx="16">
                  <c:v>31.74</c:v>
                </c:pt>
                <c:pt idx="17">
                  <c:v>36.6</c:v>
                </c:pt>
                <c:pt idx="18" formatCode="_(&quot;$&quot;* #,##0_);_(&quot;$&quot;* \(#,##0\);_(&quot;$&quot;* &quot;-&quot;??_);_(@_)">
                  <c:v>40.896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6308696"/>
        <c:axId val="2096314664"/>
      </c:areaChart>
      <c:catAx>
        <c:axId val="2096308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 i="1">
                    <a:solidFill>
                      <a:srgbClr val="000000"/>
                    </a:solidFill>
                  </a:defRPr>
                </a:pPr>
                <a:r>
                  <a:rPr lang="en-US" sz="1800" b="0" i="1">
                    <a:solidFill>
                      <a:srgbClr val="000000"/>
                    </a:solidFill>
                  </a:rPr>
                  <a:t>Source: IAB, BIA-Kelsey, BI Intelligence</a:t>
                </a:r>
                <a:r>
                  <a:rPr lang="en-US" sz="1800" b="0" i="1" baseline="0">
                    <a:solidFill>
                      <a:srgbClr val="000000"/>
                    </a:solidFill>
                  </a:rPr>
                  <a:t> Estimates</a:t>
                </a:r>
                <a:endParaRPr lang="en-US" sz="1800" b="0" i="1">
                  <a:solidFill>
                    <a:srgbClr val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000642257498097229"/>
              <c:y val="0.9705706268480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6314664"/>
        <c:crosses val="autoZero"/>
        <c:auto val="1"/>
        <c:lblAlgn val="ctr"/>
        <c:lblOffset val="100"/>
        <c:noMultiLvlLbl val="0"/>
      </c:catAx>
      <c:valAx>
        <c:axId val="20963146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r>
                  <a:rPr lang="en-US" sz="2000">
                    <a:solidFill>
                      <a:srgbClr val="000000"/>
                    </a:solidFill>
                  </a:rPr>
                  <a:t>(Billions)</a:t>
                </a:r>
              </a:p>
            </c:rich>
          </c:tx>
          <c:overlay val="0"/>
        </c:title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6308696"/>
        <c:crosses val="autoZero"/>
        <c:crossBetween val="midCat"/>
      </c:valAx>
      <c:spPr>
        <a:noFill/>
      </c:spPr>
    </c:plotArea>
    <c:plotVisOnly val="1"/>
    <c:dispBlanksAs val="zero"/>
    <c:showDLblsOverMax val="0"/>
  </c:chart>
  <c:spPr>
    <a:solidFill>
      <a:srgbClr val="FFFFFF"/>
    </a:solidFill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400"/>
            </a:pPr>
            <a:r>
              <a:rPr lang="en-US" sz="4400"/>
              <a:t>Connected Car Revenue Forecast</a:t>
            </a:r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'Connected Car revenue forecast'!$B$3</c:f>
              <c:strCache>
                <c:ptCount val="1"/>
                <c:pt idx="0">
                  <c:v>In-vehicle services</c:v>
                </c:pt>
              </c:strCache>
            </c:strRef>
          </c:tx>
          <c:spPr>
            <a:solidFill>
              <a:schemeClr val="accent1"/>
            </a:solidFill>
          </c:spPr>
          <c:dLbls>
            <c:dLbl>
              <c:idx val="0"/>
              <c:layout>
                <c:manualLayout>
                  <c:x val="0.055001900338708"/>
                  <c:y val="-0.0060638985940445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200" b="1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'Connected Car revenue forecast'!$C$2:$L$2</c:f>
              <c:strCache>
                <c:ptCount val="10"/>
                <c:pt idx="0">
                  <c:v>2009A</c:v>
                </c:pt>
                <c:pt idx="1">
                  <c:v>2010A</c:v>
                </c:pt>
                <c:pt idx="2">
                  <c:v>2011A</c:v>
                </c:pt>
                <c:pt idx="3">
                  <c:v>2012A</c:v>
                </c:pt>
                <c:pt idx="4">
                  <c:v>2013E</c:v>
                </c:pt>
                <c:pt idx="5">
                  <c:v>2014E</c:v>
                </c:pt>
                <c:pt idx="6">
                  <c:v>2015E</c:v>
                </c:pt>
                <c:pt idx="7">
                  <c:v>2016E</c:v>
                </c:pt>
                <c:pt idx="8">
                  <c:v>2017E</c:v>
                </c:pt>
                <c:pt idx="9">
                  <c:v>2018E</c:v>
                </c:pt>
              </c:strCache>
            </c:strRef>
          </c:cat>
          <c:val>
            <c:numRef>
              <c:f>'Connected Car revenue forecast'!$C$3:$L$3</c:f>
              <c:numCache>
                <c:formatCode>[$€-2]\ #,##0</c:formatCode>
                <c:ptCount val="10"/>
                <c:pt idx="0">
                  <c:v>3456.0</c:v>
                </c:pt>
                <c:pt idx="1">
                  <c:v>5237.0</c:v>
                </c:pt>
                <c:pt idx="2">
                  <c:v>7663.0</c:v>
                </c:pt>
                <c:pt idx="3">
                  <c:v>9336.0</c:v>
                </c:pt>
                <c:pt idx="4">
                  <c:v>11434.0</c:v>
                </c:pt>
                <c:pt idx="5">
                  <c:v>13565.0</c:v>
                </c:pt>
                <c:pt idx="6">
                  <c:v>15765.0</c:v>
                </c:pt>
                <c:pt idx="7">
                  <c:v>18230.0</c:v>
                </c:pt>
                <c:pt idx="8">
                  <c:v>21140.0</c:v>
                </c:pt>
                <c:pt idx="9">
                  <c:v>24526.0</c:v>
                </c:pt>
              </c:numCache>
            </c:numRef>
          </c:val>
        </c:ser>
        <c:ser>
          <c:idx val="3"/>
          <c:order val="1"/>
          <c:tx>
            <c:strRef>
              <c:f>'Connected Car revenue forecast'!$B$6</c:f>
              <c:strCache>
                <c:ptCount val="1"/>
                <c:pt idx="0">
                  <c:v>Hardware</c:v>
                </c:pt>
              </c:strCache>
            </c:strRef>
          </c:tx>
          <c:spPr>
            <a:solidFill>
              <a:schemeClr val="accent6"/>
            </a:solidFill>
          </c:spPr>
          <c:dLbls>
            <c:dLbl>
              <c:idx val="0"/>
              <c:layout>
                <c:manualLayout>
                  <c:x val="0.303329052631355"/>
                  <c:y val="-0.168643701499147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200" b="1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'Connected Car revenue forecast'!$C$2:$L$2</c:f>
              <c:strCache>
                <c:ptCount val="10"/>
                <c:pt idx="0">
                  <c:v>2009A</c:v>
                </c:pt>
                <c:pt idx="1">
                  <c:v>2010A</c:v>
                </c:pt>
                <c:pt idx="2">
                  <c:v>2011A</c:v>
                </c:pt>
                <c:pt idx="3">
                  <c:v>2012A</c:v>
                </c:pt>
                <c:pt idx="4">
                  <c:v>2013E</c:v>
                </c:pt>
                <c:pt idx="5">
                  <c:v>2014E</c:v>
                </c:pt>
                <c:pt idx="6">
                  <c:v>2015E</c:v>
                </c:pt>
                <c:pt idx="7">
                  <c:v>2016E</c:v>
                </c:pt>
                <c:pt idx="8">
                  <c:v>2017E</c:v>
                </c:pt>
                <c:pt idx="9">
                  <c:v>2018E</c:v>
                </c:pt>
              </c:strCache>
            </c:strRef>
          </c:cat>
          <c:val>
            <c:numRef>
              <c:f>'Connected Car revenue forecast'!$C$6:$L$6</c:f>
              <c:numCache>
                <c:formatCode>[$€-2]\ #,##0</c:formatCode>
                <c:ptCount val="10"/>
                <c:pt idx="0">
                  <c:v>333.0</c:v>
                </c:pt>
                <c:pt idx="1">
                  <c:v>533.0</c:v>
                </c:pt>
                <c:pt idx="2">
                  <c:v>830.0</c:v>
                </c:pt>
                <c:pt idx="3">
                  <c:v>1221.0</c:v>
                </c:pt>
                <c:pt idx="4">
                  <c:v>1689.0</c:v>
                </c:pt>
                <c:pt idx="5">
                  <c:v>2335.0</c:v>
                </c:pt>
                <c:pt idx="6">
                  <c:v>3431.0</c:v>
                </c:pt>
                <c:pt idx="7">
                  <c:v>4630.0</c:v>
                </c:pt>
                <c:pt idx="8">
                  <c:v>5926.0</c:v>
                </c:pt>
                <c:pt idx="9">
                  <c:v>6942.0</c:v>
                </c:pt>
              </c:numCache>
            </c:numRef>
          </c:val>
        </c:ser>
        <c:ser>
          <c:idx val="1"/>
          <c:order val="2"/>
          <c:tx>
            <c:strRef>
              <c:f>'Connected Car revenue forecast'!$B$4</c:f>
              <c:strCache>
                <c:ptCount val="1"/>
                <c:pt idx="0">
                  <c:v>Telematics service providers</c:v>
                </c:pt>
              </c:strCache>
            </c:strRef>
          </c:tx>
          <c:spPr>
            <a:solidFill>
              <a:schemeClr val="accent3"/>
            </a:solidFill>
          </c:spPr>
          <c:dLbls>
            <c:dLbl>
              <c:idx val="0"/>
              <c:layout>
                <c:manualLayout>
                  <c:x val="0.124197769621949"/>
                  <c:y val="-0.254683836444336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200" b="1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'Connected Car revenue forecast'!$C$2:$L$2</c:f>
              <c:strCache>
                <c:ptCount val="10"/>
                <c:pt idx="0">
                  <c:v>2009A</c:v>
                </c:pt>
                <c:pt idx="1">
                  <c:v>2010A</c:v>
                </c:pt>
                <c:pt idx="2">
                  <c:v>2011A</c:v>
                </c:pt>
                <c:pt idx="3">
                  <c:v>2012A</c:v>
                </c:pt>
                <c:pt idx="4">
                  <c:v>2013E</c:v>
                </c:pt>
                <c:pt idx="5">
                  <c:v>2014E</c:v>
                </c:pt>
                <c:pt idx="6">
                  <c:v>2015E</c:v>
                </c:pt>
                <c:pt idx="7">
                  <c:v>2016E</c:v>
                </c:pt>
                <c:pt idx="8">
                  <c:v>2017E</c:v>
                </c:pt>
                <c:pt idx="9">
                  <c:v>2018E</c:v>
                </c:pt>
              </c:strCache>
            </c:strRef>
          </c:cat>
          <c:val>
            <c:numRef>
              <c:f>'Connected Car revenue forecast'!$C$4:$L$4</c:f>
              <c:numCache>
                <c:formatCode>[$€-2]\ #,##0</c:formatCode>
                <c:ptCount val="10"/>
                <c:pt idx="0">
                  <c:v>648.0</c:v>
                </c:pt>
                <c:pt idx="1">
                  <c:v>988.0</c:v>
                </c:pt>
                <c:pt idx="2">
                  <c:v>1445.0</c:v>
                </c:pt>
                <c:pt idx="3">
                  <c:v>1766.0</c:v>
                </c:pt>
                <c:pt idx="4">
                  <c:v>2165.0</c:v>
                </c:pt>
                <c:pt idx="5">
                  <c:v>2572.0</c:v>
                </c:pt>
                <c:pt idx="6">
                  <c:v>2971.0</c:v>
                </c:pt>
                <c:pt idx="7">
                  <c:v>3421.0</c:v>
                </c:pt>
                <c:pt idx="8">
                  <c:v>3942.0</c:v>
                </c:pt>
                <c:pt idx="9">
                  <c:v>4535.0</c:v>
                </c:pt>
              </c:numCache>
            </c:numRef>
          </c:val>
        </c:ser>
        <c:ser>
          <c:idx val="2"/>
          <c:order val="3"/>
          <c:tx>
            <c:strRef>
              <c:f>'Connected Car revenue forecast'!$B$5</c:f>
              <c:strCache>
                <c:ptCount val="1"/>
                <c:pt idx="0">
                  <c:v>Telecomm service providers</c:v>
                </c:pt>
              </c:strCache>
            </c:strRef>
          </c:tx>
          <c:spPr>
            <a:solidFill>
              <a:schemeClr val="accent2"/>
            </a:solidFill>
          </c:spPr>
          <c:dLbls>
            <c:dLbl>
              <c:idx val="0"/>
              <c:layout>
                <c:manualLayout>
                  <c:x val="0.231540257877464"/>
                  <c:y val="-0.354131677892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Telecom service providers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200" b="1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'Connected Car revenue forecast'!$C$2:$L$2</c:f>
              <c:strCache>
                <c:ptCount val="10"/>
                <c:pt idx="0">
                  <c:v>2009A</c:v>
                </c:pt>
                <c:pt idx="1">
                  <c:v>2010A</c:v>
                </c:pt>
                <c:pt idx="2">
                  <c:v>2011A</c:v>
                </c:pt>
                <c:pt idx="3">
                  <c:v>2012A</c:v>
                </c:pt>
                <c:pt idx="4">
                  <c:v>2013E</c:v>
                </c:pt>
                <c:pt idx="5">
                  <c:v>2014E</c:v>
                </c:pt>
                <c:pt idx="6">
                  <c:v>2015E</c:v>
                </c:pt>
                <c:pt idx="7">
                  <c:v>2016E</c:v>
                </c:pt>
                <c:pt idx="8">
                  <c:v>2017E</c:v>
                </c:pt>
                <c:pt idx="9">
                  <c:v>2018E</c:v>
                </c:pt>
              </c:strCache>
            </c:strRef>
          </c:cat>
          <c:val>
            <c:numRef>
              <c:f>'Connected Car revenue forecast'!$C$5:$L$5</c:f>
              <c:numCache>
                <c:formatCode>[$€-2]\ #,##0</c:formatCode>
                <c:ptCount val="10"/>
                <c:pt idx="0">
                  <c:v>328.0</c:v>
                </c:pt>
                <c:pt idx="1">
                  <c:v>470.0</c:v>
                </c:pt>
                <c:pt idx="2">
                  <c:v>637.0</c:v>
                </c:pt>
                <c:pt idx="3">
                  <c:v>814.0</c:v>
                </c:pt>
                <c:pt idx="4">
                  <c:v>1122.0</c:v>
                </c:pt>
                <c:pt idx="5">
                  <c:v>1513.0</c:v>
                </c:pt>
                <c:pt idx="6">
                  <c:v>1997.0</c:v>
                </c:pt>
                <c:pt idx="7">
                  <c:v>2551.0</c:v>
                </c:pt>
                <c:pt idx="8">
                  <c:v>3226.0</c:v>
                </c:pt>
                <c:pt idx="9">
                  <c:v>4052.0</c:v>
                </c:pt>
              </c:numCache>
            </c:numRef>
          </c:val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2070292376"/>
        <c:axId val="2070298264"/>
      </c:areaChart>
      <c:catAx>
        <c:axId val="2070292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200" b="0" i="1"/>
                  <a:t>Source: SBD,</a:t>
                </a:r>
                <a:r>
                  <a:rPr lang="en-US" sz="2200" b="0" i="1" baseline="0"/>
                  <a:t> GSMA</a:t>
                </a:r>
                <a:endParaRPr lang="en-US" sz="2200" b="0" i="1"/>
              </a:p>
            </c:rich>
          </c:tx>
          <c:layout>
            <c:manualLayout>
              <c:xMode val="edge"/>
              <c:yMode val="edge"/>
              <c:x val="0.117512894417745"/>
              <c:y val="0.94967011470021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200"/>
            </a:pPr>
            <a:endParaRPr lang="en-US"/>
          </a:p>
        </c:txPr>
        <c:crossAx val="2070298264"/>
        <c:crosses val="autoZero"/>
        <c:auto val="1"/>
        <c:lblAlgn val="ctr"/>
        <c:lblOffset val="100"/>
        <c:noMultiLvlLbl val="0"/>
      </c:catAx>
      <c:valAx>
        <c:axId val="20702982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2200"/>
                  <a:t>(millions)</a:t>
                </a:r>
              </a:p>
            </c:rich>
          </c:tx>
          <c:overlay val="0"/>
        </c:title>
        <c:numFmt formatCode="[$€-2]\ #,##0" sourceLinked="1"/>
        <c:majorTickMark val="out"/>
        <c:minorTickMark val="none"/>
        <c:tickLblPos val="nextTo"/>
        <c:txPr>
          <a:bodyPr/>
          <a:lstStyle/>
          <a:p>
            <a:pPr>
              <a:defRPr sz="2200"/>
            </a:pPr>
            <a:endParaRPr lang="en-US"/>
          </a:p>
        </c:txPr>
        <c:crossAx val="2070292376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400">
                <a:solidFill>
                  <a:srgbClr val="000000"/>
                </a:solidFill>
              </a:defRPr>
            </a:pPr>
            <a:r>
              <a:rPr lang="en-US" sz="4400">
                <a:solidFill>
                  <a:srgbClr val="000000"/>
                </a:solidFill>
              </a:rPr>
              <a:t>Share Of U.S. Ad Expenditure By Medium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'U.S. digital &amp; mobile ad spend'!$AD$19</c:f>
              <c:strCache>
                <c:ptCount val="1"/>
                <c:pt idx="0">
                  <c:v>Offline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txPr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numRef>
              <c:f>'U.S. digital &amp; mobile ad spend'!$AE$18:$AF$18</c:f>
              <c:numCache>
                <c:formatCode>General</c:formatCode>
                <c:ptCount val="2"/>
                <c:pt idx="0">
                  <c:v>2012.0</c:v>
                </c:pt>
                <c:pt idx="1">
                  <c:v>2015.0</c:v>
                </c:pt>
              </c:numCache>
            </c:numRef>
          </c:cat>
          <c:val>
            <c:numRef>
              <c:f>'U.S. digital &amp; mobile ad spend'!$AE$19:$AF$19</c:f>
              <c:numCache>
                <c:formatCode>0%</c:formatCode>
                <c:ptCount val="2"/>
                <c:pt idx="0">
                  <c:v>0.74</c:v>
                </c:pt>
                <c:pt idx="1">
                  <c:v>0.63</c:v>
                </c:pt>
              </c:numCache>
            </c:numRef>
          </c:val>
        </c:ser>
        <c:ser>
          <c:idx val="1"/>
          <c:order val="1"/>
          <c:tx>
            <c:strRef>
              <c:f>'U.S. digital &amp; mobile ad spend'!$AD$20</c:f>
              <c:strCache>
                <c:ptCount val="1"/>
                <c:pt idx="0">
                  <c:v>Digital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txPr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numRef>
              <c:f>'U.S. digital &amp; mobile ad spend'!$AE$18:$AF$18</c:f>
              <c:numCache>
                <c:formatCode>General</c:formatCode>
                <c:ptCount val="2"/>
                <c:pt idx="0">
                  <c:v>2012.0</c:v>
                </c:pt>
                <c:pt idx="1">
                  <c:v>2015.0</c:v>
                </c:pt>
              </c:numCache>
            </c:numRef>
          </c:cat>
          <c:val>
            <c:numRef>
              <c:f>'U.S. digital &amp; mobile ad spend'!$AE$20:$AF$20</c:f>
              <c:numCache>
                <c:formatCode>0%</c:formatCode>
                <c:ptCount val="2"/>
                <c:pt idx="0">
                  <c:v>0.24</c:v>
                </c:pt>
                <c:pt idx="1">
                  <c:v>0.28</c:v>
                </c:pt>
              </c:numCache>
            </c:numRef>
          </c:val>
        </c:ser>
        <c:ser>
          <c:idx val="2"/>
          <c:order val="2"/>
          <c:tx>
            <c:strRef>
              <c:f>'U.S. digital &amp; mobile ad spend'!$AD$21</c:f>
              <c:strCache>
                <c:ptCount val="1"/>
                <c:pt idx="0">
                  <c:v>Mobile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0.130047432761156"/>
                  <c:y val="0.0142515944414312"/>
                </c:manualLayout>
              </c:layout>
              <c:showLegendKey val="1"/>
              <c:showVal val="1"/>
              <c:showCatName val="0"/>
              <c:showSerName val="1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-0.0124703084970564"/>
                  <c:y val="0.0"/>
                </c:manualLayout>
              </c:layout>
              <c:showLegendKey val="1"/>
              <c:showVal val="1"/>
              <c:showCatName val="0"/>
              <c:showSerName val="1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1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numRef>
              <c:f>'U.S. digital &amp; mobile ad spend'!$AE$18:$AF$18</c:f>
              <c:numCache>
                <c:formatCode>General</c:formatCode>
                <c:ptCount val="2"/>
                <c:pt idx="0">
                  <c:v>2012.0</c:v>
                </c:pt>
                <c:pt idx="1">
                  <c:v>2015.0</c:v>
                </c:pt>
              </c:numCache>
            </c:numRef>
          </c:cat>
          <c:val>
            <c:numRef>
              <c:f>'U.S. digital &amp; mobile ad spend'!$AE$21:$AF$21</c:f>
              <c:numCache>
                <c:formatCode>0%</c:formatCode>
                <c:ptCount val="2"/>
                <c:pt idx="0">
                  <c:v>0.02</c:v>
                </c:pt>
                <c:pt idx="1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6374024"/>
        <c:axId val="2096380072"/>
      </c:barChart>
      <c:catAx>
        <c:axId val="2096374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 i="1">
                    <a:solidFill>
                      <a:srgbClr val="000000"/>
                    </a:solidFill>
                  </a:defRPr>
                </a:pPr>
                <a:r>
                  <a:rPr lang="en-US" sz="1800" b="0" i="1">
                    <a:solidFill>
                      <a:srgbClr val="000000"/>
                    </a:solidFill>
                  </a:rPr>
                  <a:t>Source: eMarketer,</a:t>
                </a:r>
                <a:r>
                  <a:rPr lang="en-US" sz="1800" b="0" i="1" baseline="0">
                    <a:solidFill>
                      <a:srgbClr val="000000"/>
                    </a:solidFill>
                  </a:rPr>
                  <a:t> BI Intelligence Estimates</a:t>
                </a:r>
                <a:endParaRPr lang="en-US" sz="1800" b="0" i="1">
                  <a:solidFill>
                    <a:srgbClr val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000147637791823957"/>
              <c:y val="0.98218527315914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6380072"/>
        <c:crosses val="autoZero"/>
        <c:auto val="1"/>
        <c:lblAlgn val="ctr"/>
        <c:lblOffset val="100"/>
        <c:noMultiLvlLbl val="0"/>
      </c:catAx>
      <c:valAx>
        <c:axId val="2096380072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637402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0"/>
            </a:pPr>
            <a:r>
              <a:rPr lang="en-US" sz="4000"/>
              <a:t>Digital Ad Revenue By Format</a:t>
            </a:r>
          </a:p>
        </c:rich>
      </c:tx>
      <c:layout>
        <c:manualLayout>
          <c:xMode val="edge"/>
          <c:yMode val="edge"/>
          <c:x val="0.283864226506943"/>
          <c:y val="0.0094966761633428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8848453238217"/>
          <c:y val="0.129392212725546"/>
          <c:w val="0.858781995199318"/>
          <c:h val="0.7657328891580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AdRevByFormat!$A$3</c:f>
              <c:strCache>
                <c:ptCount val="1"/>
                <c:pt idx="0">
                  <c:v>Search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AdRevByFormat!$B$2:$C$2</c:f>
              <c:strCache>
                <c:ptCount val="2"/>
                <c:pt idx="0">
                  <c:v>H1 2012</c:v>
                </c:pt>
                <c:pt idx="1">
                  <c:v>H2 2013</c:v>
                </c:pt>
              </c:strCache>
            </c:strRef>
          </c:cat>
          <c:val>
            <c:numRef>
              <c:f>AdRevByFormat!$B$3:$C$3</c:f>
              <c:numCache>
                <c:formatCode>0%</c:formatCode>
                <c:ptCount val="2"/>
                <c:pt idx="0">
                  <c:v>0.48</c:v>
                </c:pt>
                <c:pt idx="1">
                  <c:v>0.43</c:v>
                </c:pt>
              </c:numCache>
            </c:numRef>
          </c:val>
        </c:ser>
        <c:ser>
          <c:idx val="1"/>
          <c:order val="1"/>
          <c:tx>
            <c:strRef>
              <c:f>AdRevByFormat!$A$4</c:f>
              <c:strCache>
                <c:ptCount val="1"/>
                <c:pt idx="0">
                  <c:v>Display/ Banner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00356125356125356"/>
                  <c:y val="-0.001187084520417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AdRevByFormat!$B$2:$C$2</c:f>
              <c:strCache>
                <c:ptCount val="2"/>
                <c:pt idx="0">
                  <c:v>H1 2012</c:v>
                </c:pt>
                <c:pt idx="1">
                  <c:v>H2 2013</c:v>
                </c:pt>
              </c:strCache>
            </c:strRef>
          </c:cat>
          <c:val>
            <c:numRef>
              <c:f>AdRevByFormat!$B$4:$C$4</c:f>
              <c:numCache>
                <c:formatCode>0%</c:formatCode>
                <c:ptCount val="2"/>
                <c:pt idx="0">
                  <c:v>0.21</c:v>
                </c:pt>
                <c:pt idx="1">
                  <c:v>0.19</c:v>
                </c:pt>
              </c:numCache>
            </c:numRef>
          </c:val>
        </c:ser>
        <c:ser>
          <c:idx val="2"/>
          <c:order val="2"/>
          <c:tx>
            <c:strRef>
              <c:f>AdRevByFormat!$A$5</c:f>
              <c:strCache>
                <c:ptCount val="1"/>
                <c:pt idx="0">
                  <c:v>Mobile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AdRevByFormat!$B$2:$C$2</c:f>
              <c:strCache>
                <c:ptCount val="2"/>
                <c:pt idx="0">
                  <c:v>H1 2012</c:v>
                </c:pt>
                <c:pt idx="1">
                  <c:v>H2 2013</c:v>
                </c:pt>
              </c:strCache>
            </c:strRef>
          </c:cat>
          <c:val>
            <c:numRef>
              <c:f>AdRevByFormat!$B$5:$C$5</c:f>
              <c:numCache>
                <c:formatCode>0%</c:formatCode>
                <c:ptCount val="2"/>
                <c:pt idx="0">
                  <c:v>0.07</c:v>
                </c:pt>
                <c:pt idx="1">
                  <c:v>0.15</c:v>
                </c:pt>
              </c:numCache>
            </c:numRef>
          </c:val>
        </c:ser>
        <c:ser>
          <c:idx val="3"/>
          <c:order val="3"/>
          <c:tx>
            <c:strRef>
              <c:f>AdRevByFormat!$A$6</c:f>
              <c:strCache>
                <c:ptCount val="1"/>
                <c:pt idx="0">
                  <c:v>Classifieds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AdRevByFormat!$B$2:$C$2</c:f>
              <c:strCache>
                <c:ptCount val="2"/>
                <c:pt idx="0">
                  <c:v>H1 2012</c:v>
                </c:pt>
                <c:pt idx="1">
                  <c:v>H2 2013</c:v>
                </c:pt>
              </c:strCache>
            </c:strRef>
          </c:cat>
          <c:val>
            <c:numRef>
              <c:f>AdRevByFormat!$B$6:$C$6</c:f>
              <c:numCache>
                <c:formatCode>0%</c:formatCode>
                <c:ptCount val="2"/>
                <c:pt idx="0">
                  <c:v>0.07</c:v>
                </c:pt>
                <c:pt idx="1">
                  <c:v>0.06</c:v>
                </c:pt>
              </c:numCache>
            </c:numRef>
          </c:val>
        </c:ser>
        <c:ser>
          <c:idx val="4"/>
          <c:order val="4"/>
          <c:tx>
            <c:strRef>
              <c:f>AdRevByFormat!$A$7</c:f>
              <c:strCache>
                <c:ptCount val="1"/>
                <c:pt idx="0">
                  <c:v>Digital Video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AdRevByFormat!$B$2:$C$2</c:f>
              <c:strCache>
                <c:ptCount val="2"/>
                <c:pt idx="0">
                  <c:v>H1 2012</c:v>
                </c:pt>
                <c:pt idx="1">
                  <c:v>H2 2013</c:v>
                </c:pt>
              </c:strCache>
            </c:strRef>
          </c:cat>
          <c:val>
            <c:numRef>
              <c:f>AdRevByFormat!$B$7:$C$7</c:f>
              <c:numCache>
                <c:formatCode>0%</c:formatCode>
                <c:ptCount val="2"/>
                <c:pt idx="0">
                  <c:v>0.06</c:v>
                </c:pt>
                <c:pt idx="1">
                  <c:v>0.07</c:v>
                </c:pt>
              </c:numCache>
            </c:numRef>
          </c:val>
        </c:ser>
        <c:ser>
          <c:idx val="5"/>
          <c:order val="5"/>
          <c:tx>
            <c:strRef>
              <c:f>AdRevByFormat!$A$8</c:f>
              <c:strCache>
                <c:ptCount val="1"/>
                <c:pt idx="0">
                  <c:v>Lead Generation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AdRevByFormat!$B$2:$C$2</c:f>
              <c:strCache>
                <c:ptCount val="2"/>
                <c:pt idx="0">
                  <c:v>H1 2012</c:v>
                </c:pt>
                <c:pt idx="1">
                  <c:v>H2 2013</c:v>
                </c:pt>
              </c:strCache>
            </c:strRef>
          </c:cat>
          <c:val>
            <c:numRef>
              <c:f>AdRevByFormat!$B$8:$C$8</c:f>
              <c:numCache>
                <c:formatCode>0%</c:formatCode>
                <c:ptCount val="2"/>
                <c:pt idx="0">
                  <c:v>0.05</c:v>
                </c:pt>
                <c:pt idx="1">
                  <c:v>0.04</c:v>
                </c:pt>
              </c:numCache>
            </c:numRef>
          </c:val>
        </c:ser>
        <c:ser>
          <c:idx val="6"/>
          <c:order val="6"/>
          <c:tx>
            <c:strRef>
              <c:f>AdRevByFormat!$A$9</c:f>
              <c:strCache>
                <c:ptCount val="1"/>
                <c:pt idx="0">
                  <c:v>Sponsorship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AdRevByFormat!$B$2:$C$2</c:f>
              <c:strCache>
                <c:ptCount val="2"/>
                <c:pt idx="0">
                  <c:v>H1 2012</c:v>
                </c:pt>
                <c:pt idx="1">
                  <c:v>H2 2013</c:v>
                </c:pt>
              </c:strCache>
            </c:strRef>
          </c:cat>
          <c:val>
            <c:numRef>
              <c:f>AdRevByFormat!$B$9:$C$9</c:f>
              <c:numCache>
                <c:formatCode>0%</c:formatCode>
                <c:ptCount val="2"/>
                <c:pt idx="0">
                  <c:v>0.02</c:v>
                </c:pt>
                <c:pt idx="1">
                  <c:v>0.02</c:v>
                </c:pt>
              </c:numCache>
            </c:numRef>
          </c:val>
        </c:ser>
        <c:ser>
          <c:idx val="7"/>
          <c:order val="7"/>
          <c:tx>
            <c:strRef>
              <c:f>AdRevByFormat!$A$10</c:f>
              <c:strCache>
                <c:ptCount val="1"/>
                <c:pt idx="0">
                  <c:v>Rich Media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AdRevByFormat!$B$2:$C$2</c:f>
              <c:strCache>
                <c:ptCount val="2"/>
                <c:pt idx="0">
                  <c:v>H1 2012</c:v>
                </c:pt>
                <c:pt idx="1">
                  <c:v>H2 2013</c:v>
                </c:pt>
              </c:strCache>
            </c:strRef>
          </c:cat>
          <c:val>
            <c:numRef>
              <c:f>AdRevByFormat!$B$10:$C$10</c:f>
              <c:numCache>
                <c:formatCode>0%</c:formatCode>
                <c:ptCount val="2"/>
                <c:pt idx="0">
                  <c:v>0.03</c:v>
                </c:pt>
                <c:pt idx="1">
                  <c:v>0.03</c:v>
                </c:pt>
              </c:numCache>
            </c:numRef>
          </c:val>
        </c:ser>
        <c:ser>
          <c:idx val="8"/>
          <c:order val="8"/>
          <c:tx>
            <c:strRef>
              <c:f>AdRevByFormat!$A$11</c:f>
              <c:strCache>
                <c:ptCount val="1"/>
                <c:pt idx="0">
                  <c:v>Email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00178069688404334"/>
                  <c:y val="-0.01424510771623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00801282051282051"/>
                  <c:y val="-0.0139368396258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2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AdRevByFormat!$B$2:$C$2</c:f>
              <c:strCache>
                <c:ptCount val="2"/>
                <c:pt idx="0">
                  <c:v>H1 2012</c:v>
                </c:pt>
                <c:pt idx="1">
                  <c:v>H2 2013</c:v>
                </c:pt>
              </c:strCache>
            </c:strRef>
          </c:cat>
          <c:val>
            <c:numRef>
              <c:f>AdRevByFormat!$B$11:$C$11</c:f>
              <c:numCache>
                <c:formatCode>0.00%</c:formatCode>
                <c:ptCount val="2"/>
                <c:pt idx="0">
                  <c:v>0.005</c:v>
                </c:pt>
                <c:pt idx="1">
                  <c:v>0.004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6493432"/>
        <c:axId val="2096499224"/>
      </c:barChart>
      <c:catAx>
        <c:axId val="2096493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0" i="1"/>
                  <a:t>Source:</a:t>
                </a:r>
                <a:r>
                  <a:rPr lang="en-US" sz="1800" b="0" i="1" baseline="0"/>
                  <a:t> IAB 2013</a:t>
                </a:r>
                <a:endParaRPr lang="en-US" sz="1800" b="0" i="1"/>
              </a:p>
            </c:rich>
          </c:tx>
          <c:layout>
            <c:manualLayout>
              <c:xMode val="edge"/>
              <c:yMode val="edge"/>
              <c:x val="0.000277609529578041"/>
              <c:y val="0.97073434730915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6499224"/>
        <c:crosses val="autoZero"/>
        <c:auto val="1"/>
        <c:lblAlgn val="ctr"/>
        <c:lblOffset val="100"/>
        <c:noMultiLvlLbl val="0"/>
      </c:catAx>
      <c:valAx>
        <c:axId val="2096499224"/>
        <c:scaling>
          <c:orientation val="minMax"/>
          <c:max val="1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2000"/>
                  <a:t>%</a:t>
                </a:r>
                <a:r>
                  <a:rPr lang="en-US" sz="2000" baseline="0"/>
                  <a:t> Of Total Digital Ad Revenue</a:t>
                </a:r>
                <a:endParaRPr lang="en-US" sz="2000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6493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66384009691096"/>
          <c:y val="0.259765966754156"/>
          <c:w val="0.146648005137178"/>
          <c:h val="0.343651995423649"/>
        </c:manualLayout>
      </c:layout>
      <c:overlay val="0"/>
      <c:txPr>
        <a:bodyPr/>
        <a:lstStyle/>
        <a:p>
          <a:pPr>
            <a:defRPr sz="2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000">
                <a:solidFill>
                  <a:srgbClr val="000000"/>
                </a:solidFill>
              </a:defRPr>
            </a:pPr>
            <a:r>
              <a:rPr lang="en-US" sz="4000">
                <a:solidFill>
                  <a:srgbClr val="000000"/>
                </a:solidFill>
              </a:rPr>
              <a:t>Effective CPM, Desktop</a:t>
            </a:r>
            <a:r>
              <a:rPr lang="en-US" sz="4000" baseline="0">
                <a:solidFill>
                  <a:srgbClr val="000000"/>
                </a:solidFill>
              </a:rPr>
              <a:t> vs. Mobile</a:t>
            </a:r>
            <a:endParaRPr lang="en-US" sz="4000">
              <a:solidFill>
                <a:srgbClr val="000000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204724409448819"/>
          <c:y val="0.137963883257108"/>
          <c:w val="0.959055118110236"/>
          <c:h val="0.7684101176938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</c:spPr>
          <c:invertIfNegative val="0"/>
          <c:dLbls>
            <c:txPr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eCPM!$E$13:$E$14</c:f>
              <c:strCache>
                <c:ptCount val="2"/>
                <c:pt idx="0">
                  <c:v>Desktop Internet</c:v>
                </c:pt>
                <c:pt idx="1">
                  <c:v>Mobile Internet</c:v>
                </c:pt>
              </c:strCache>
            </c:strRef>
          </c:cat>
          <c:val>
            <c:numRef>
              <c:f>eCPM!$F$13:$F$14</c:f>
              <c:numCache>
                <c:formatCode>"$"#,##0.00</c:formatCode>
                <c:ptCount val="2"/>
                <c:pt idx="0">
                  <c:v>3.5</c:v>
                </c:pt>
                <c:pt idx="1">
                  <c:v>0.75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6527288"/>
        <c:axId val="2096530312"/>
      </c:barChart>
      <c:catAx>
        <c:axId val="20965272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6530312"/>
        <c:crosses val="autoZero"/>
        <c:auto val="1"/>
        <c:lblAlgn val="ctr"/>
        <c:lblOffset val="100"/>
        <c:noMultiLvlLbl val="0"/>
      </c:catAx>
      <c:valAx>
        <c:axId val="2096530312"/>
        <c:scaling>
          <c:orientation val="minMax"/>
        </c:scaling>
        <c:delete val="1"/>
        <c:axPos val="l"/>
        <c:numFmt formatCode="&quot;$&quot;#,##0.00" sourceLinked="1"/>
        <c:majorTickMark val="out"/>
        <c:minorTickMark val="none"/>
        <c:tickLblPos val="nextTo"/>
        <c:crossAx val="209652728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>
                <a:solidFill>
                  <a:srgbClr val="000000"/>
                </a:solidFill>
              </a:defRPr>
            </a:pPr>
            <a:r>
              <a:rPr lang="en-US" sz="4000">
                <a:solidFill>
                  <a:srgbClr val="000000"/>
                </a:solidFill>
              </a:rPr>
              <a:t>Annual Mobile Ad Spend Per Mobile Subscription </a:t>
            </a:r>
          </a:p>
          <a:p>
            <a:pPr>
              <a:defRPr>
                <a:solidFill>
                  <a:srgbClr val="000000"/>
                </a:solidFill>
              </a:defRPr>
            </a:pPr>
            <a:r>
              <a:rPr lang="en-US" sz="2400" b="0" i="1">
                <a:solidFill>
                  <a:srgbClr val="000000"/>
                </a:solidFill>
              </a:rPr>
              <a:t>By Region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538849606861735"/>
          <c:y val="0.107778238587236"/>
          <c:w val="0.934604540463029"/>
          <c:h val="0.7766878918518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AdSpendPerSub!$E$8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txPr>
              <a:bodyPr/>
              <a:lstStyle/>
              <a:p>
                <a:pPr>
                  <a:defRPr sz="22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AdSpendPerSub!$D$17:$D$22</c:f>
              <c:strCache>
                <c:ptCount val="6"/>
                <c:pt idx="0">
                  <c:v>Latin America</c:v>
                </c:pt>
                <c:pt idx="1">
                  <c:v>Middle East and Africa</c:v>
                </c:pt>
                <c:pt idx="2">
                  <c:v>Central Europe</c:v>
                </c:pt>
                <c:pt idx="3">
                  <c:v>Asia-Pacific</c:v>
                </c:pt>
                <c:pt idx="4">
                  <c:v>Western Europe</c:v>
                </c:pt>
                <c:pt idx="5">
                  <c:v>North America</c:v>
                </c:pt>
              </c:strCache>
            </c:strRef>
          </c:cat>
          <c:val>
            <c:numRef>
              <c:f>AdSpendPerSub!$E$17:$E$22</c:f>
              <c:numCache>
                <c:formatCode>"$"#,##0.0</c:formatCode>
                <c:ptCount val="6"/>
                <c:pt idx="0">
                  <c:v>0.0387</c:v>
                </c:pt>
                <c:pt idx="1">
                  <c:v>0.129</c:v>
                </c:pt>
                <c:pt idx="2">
                  <c:v>0.129</c:v>
                </c:pt>
                <c:pt idx="3">
                  <c:v>0.774</c:v>
                </c:pt>
                <c:pt idx="4">
                  <c:v>1.419</c:v>
                </c:pt>
                <c:pt idx="5">
                  <c:v>4.515000000000001</c:v>
                </c:pt>
              </c:numCache>
            </c:numRef>
          </c:val>
        </c:ser>
        <c:ser>
          <c:idx val="1"/>
          <c:order val="1"/>
          <c:tx>
            <c:strRef>
              <c:f>AdSpendPerSub!$F$8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22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AdSpendPerSub!$D$17:$D$22</c:f>
              <c:strCache>
                <c:ptCount val="6"/>
                <c:pt idx="0">
                  <c:v>Latin America</c:v>
                </c:pt>
                <c:pt idx="1">
                  <c:v>Middle East and Africa</c:v>
                </c:pt>
                <c:pt idx="2">
                  <c:v>Central Europe</c:v>
                </c:pt>
                <c:pt idx="3">
                  <c:v>Asia-Pacific</c:v>
                </c:pt>
                <c:pt idx="4">
                  <c:v>Western Europe</c:v>
                </c:pt>
                <c:pt idx="5">
                  <c:v>North America</c:v>
                </c:pt>
              </c:strCache>
            </c:strRef>
          </c:cat>
          <c:val>
            <c:numRef>
              <c:f>AdSpendPerSub!$F$17:$F$22</c:f>
              <c:numCache>
                <c:formatCode>"$"#,##0.0</c:formatCode>
                <c:ptCount val="6"/>
                <c:pt idx="0">
                  <c:v>0.129</c:v>
                </c:pt>
                <c:pt idx="1">
                  <c:v>0.258</c:v>
                </c:pt>
                <c:pt idx="2">
                  <c:v>0.258</c:v>
                </c:pt>
                <c:pt idx="3">
                  <c:v>1.29</c:v>
                </c:pt>
                <c:pt idx="4">
                  <c:v>2.838</c:v>
                </c:pt>
                <c:pt idx="5">
                  <c:v>9.158999999999998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96591768"/>
        <c:axId val="2096597272"/>
      </c:barChart>
      <c:catAx>
        <c:axId val="2096591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r>
                  <a:rPr lang="en-US" sz="2200" b="0" i="1">
                    <a:solidFill>
                      <a:srgbClr val="000000"/>
                    </a:solidFill>
                  </a:rPr>
                  <a:t>Source: IAB, IHS</a:t>
                </a:r>
              </a:p>
            </c:rich>
          </c:tx>
          <c:layout>
            <c:manualLayout>
              <c:xMode val="edge"/>
              <c:yMode val="edge"/>
              <c:x val="0.000445574623963988"/>
              <c:y val="0.964906095936821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2200">
                <a:solidFill>
                  <a:srgbClr val="000000"/>
                </a:solidFill>
              </a:defRPr>
            </a:pPr>
            <a:endParaRPr lang="en-US"/>
          </a:p>
        </c:txPr>
        <c:crossAx val="2096597272"/>
        <c:crosses val="autoZero"/>
        <c:auto val="1"/>
        <c:lblAlgn val="ctr"/>
        <c:lblOffset val="100"/>
        <c:noMultiLvlLbl val="0"/>
      </c:catAx>
      <c:valAx>
        <c:axId val="2096597272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2200">
                <a:solidFill>
                  <a:srgbClr val="000000"/>
                </a:solidFill>
              </a:defRPr>
            </a:pPr>
            <a:endParaRPr lang="en-US"/>
          </a:p>
        </c:txPr>
        <c:crossAx val="20965917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220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/>
                </a:solidFill>
              </a:defRPr>
            </a:pPr>
            <a:r>
              <a:rPr lang="en-US" sz="4000">
                <a:solidFill>
                  <a:schemeClr val="tx1"/>
                </a:solidFill>
              </a:rPr>
              <a:t>Global</a:t>
            </a:r>
            <a:r>
              <a:rPr lang="en-US" sz="4000" baseline="0">
                <a:solidFill>
                  <a:schemeClr val="tx1"/>
                </a:solidFill>
              </a:rPr>
              <a:t> Mobile Advertising Revenue</a:t>
            </a: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 sz="2400" b="0" i="1" baseline="0">
                <a:solidFill>
                  <a:schemeClr val="tx1"/>
                </a:solidFill>
              </a:rPr>
              <a:t>By Format</a:t>
            </a:r>
            <a:endParaRPr lang="en-US" sz="2400" b="0" i="1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GlobalAdRevByFormat!$D$2</c:f>
              <c:strCache>
                <c:ptCount val="1"/>
                <c:pt idx="0">
                  <c:v>Search</c:v>
                </c:pt>
              </c:strCache>
            </c:strRef>
          </c:tx>
          <c:spPr>
            <a:solidFill>
              <a:schemeClr val="tx2"/>
            </a:solidFill>
          </c:spPr>
          <c:dLbls>
            <c:dLbl>
              <c:idx val="0"/>
              <c:layout>
                <c:manualLayout>
                  <c:x val="0.332146037399822"/>
                  <c:y val="-0.0771971496437056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GlobalAdRevByFormat!$A$3:$A$9</c:f>
              <c:strCach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2013E</c:v>
                </c:pt>
              </c:strCache>
            </c:strRef>
          </c:cat>
          <c:val>
            <c:numRef>
              <c:f>GlobalAdRevByFormat!$D$3:$D$9</c:f>
              <c:numCache>
                <c:formatCode>General</c:formatCode>
                <c:ptCount val="7"/>
                <c:pt idx="0">
                  <c:v>127.37</c:v>
                </c:pt>
                <c:pt idx="1">
                  <c:v>257.25</c:v>
                </c:pt>
                <c:pt idx="2">
                  <c:v>597.102</c:v>
                </c:pt>
                <c:pt idx="3">
                  <c:v>1199.655</c:v>
                </c:pt>
                <c:pt idx="4">
                  <c:v>2473.24</c:v>
                </c:pt>
                <c:pt idx="5">
                  <c:v>4672.8</c:v>
                </c:pt>
                <c:pt idx="6">
                  <c:v>8079.165</c:v>
                </c:pt>
              </c:numCache>
            </c:numRef>
          </c:val>
        </c:ser>
        <c:ser>
          <c:idx val="1"/>
          <c:order val="1"/>
          <c:tx>
            <c:strRef>
              <c:f>GlobalAdRevByFormat!$E$2</c:f>
              <c:strCache>
                <c:ptCount val="1"/>
                <c:pt idx="0">
                  <c:v>Display</c:v>
                </c:pt>
              </c:strCache>
            </c:strRef>
          </c:tx>
          <c:spPr>
            <a:solidFill>
              <a:schemeClr val="accent3"/>
            </a:solidFill>
          </c:spPr>
          <c:dLbls>
            <c:dLbl>
              <c:idx val="0"/>
              <c:layout>
                <c:manualLayout>
                  <c:x val="0.328730215541239"/>
                  <c:y val="-0.288598668337479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GlobalAdRevByFormat!$A$3:$A$9</c:f>
              <c:strCach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2013E</c:v>
                </c:pt>
              </c:strCache>
            </c:strRef>
          </c:cat>
          <c:val>
            <c:numRef>
              <c:f>GlobalAdRevByFormat!$E$3:$E$9</c:f>
              <c:numCache>
                <c:formatCode>General</c:formatCode>
                <c:ptCount val="7"/>
                <c:pt idx="0">
                  <c:v>92.14</c:v>
                </c:pt>
                <c:pt idx="1">
                  <c:v>183.75</c:v>
                </c:pt>
                <c:pt idx="2">
                  <c:v>429.242</c:v>
                </c:pt>
                <c:pt idx="3">
                  <c:v>880.0649999999999</c:v>
                </c:pt>
                <c:pt idx="4">
                  <c:v>1829.52</c:v>
                </c:pt>
                <c:pt idx="5">
                  <c:v>3424.95</c:v>
                </c:pt>
                <c:pt idx="6">
                  <c:v>6018.0</c:v>
                </c:pt>
              </c:numCache>
            </c:numRef>
          </c:val>
        </c:ser>
        <c:ser>
          <c:idx val="2"/>
          <c:order val="2"/>
          <c:tx>
            <c:strRef>
              <c:f>GlobalAdRevByFormat!$F$2</c:f>
              <c:strCache>
                <c:ptCount val="1"/>
                <c:pt idx="0">
                  <c:v>Messaging</c:v>
                </c:pt>
              </c:strCache>
            </c:strRef>
          </c:tx>
          <c:spPr>
            <a:solidFill>
              <a:schemeClr val="accent6"/>
            </a:solidFill>
          </c:spPr>
          <c:dLbls>
            <c:dLbl>
              <c:idx val="0"/>
              <c:layout>
                <c:manualLayout>
                  <c:x val="0.279656936822291"/>
                  <c:y val="-0.401425271662895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GlobalAdRevByFormat!$A$3:$A$9</c:f>
              <c:strCach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2013E</c:v>
                </c:pt>
              </c:strCache>
            </c:strRef>
          </c:cat>
          <c:val>
            <c:numRef>
              <c:f>GlobalAdRevByFormat!$F$3:$F$9</c:f>
              <c:numCache>
                <c:formatCode>General</c:formatCode>
                <c:ptCount val="7"/>
                <c:pt idx="0">
                  <c:v>51.49</c:v>
                </c:pt>
                <c:pt idx="1">
                  <c:v>84.0</c:v>
                </c:pt>
                <c:pt idx="2">
                  <c:v>172.656</c:v>
                </c:pt>
                <c:pt idx="3">
                  <c:v>305.28</c:v>
                </c:pt>
                <c:pt idx="4">
                  <c:v>537.24</c:v>
                </c:pt>
                <c:pt idx="5">
                  <c:v>752.25</c:v>
                </c:pt>
                <c:pt idx="6">
                  <c:v>947.835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6662712"/>
        <c:axId val="2096668424"/>
      </c:areaChart>
      <c:catAx>
        <c:axId val="2096662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 i="1">
                    <a:solidFill>
                      <a:srgbClr val="000000"/>
                    </a:solidFill>
                  </a:defRPr>
                </a:pPr>
                <a:r>
                  <a:rPr lang="en-US" sz="1800" b="0" i="1">
                    <a:solidFill>
                      <a:srgbClr val="000000"/>
                    </a:solidFill>
                  </a:rPr>
                  <a:t>Source: IAB, BI Intelligence Estimates</a:t>
                </a:r>
              </a:p>
            </c:rich>
          </c:tx>
          <c:layout>
            <c:manualLayout>
              <c:xMode val="edge"/>
              <c:yMode val="edge"/>
              <c:x val="0.000587360907580242"/>
              <c:y val="0.97743467933491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6668424"/>
        <c:crosses val="autoZero"/>
        <c:auto val="1"/>
        <c:lblAlgn val="ctr"/>
        <c:lblOffset val="100"/>
        <c:noMultiLvlLbl val="0"/>
      </c:catAx>
      <c:valAx>
        <c:axId val="20966684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r>
                  <a:rPr lang="en-US" sz="2000">
                    <a:solidFill>
                      <a:srgbClr val="000000"/>
                    </a:solidFill>
                  </a:rPr>
                  <a:t>(Millions)</a:t>
                </a:r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6662712"/>
        <c:crosses val="autoZero"/>
        <c:crossBetween val="midCat"/>
      </c:valAx>
      <c:spPr>
        <a:noFill/>
      </c:spPr>
    </c:plotArea>
    <c:plotVisOnly val="1"/>
    <c:dispBlanksAs val="zero"/>
    <c:showDLblsOverMax val="0"/>
  </c:chart>
  <c:spPr>
    <a:solidFill>
      <a:srgbClr val="FFFFFF"/>
    </a:solidFill>
    <a:ln>
      <a:solidFill>
        <a:schemeClr val="bg1">
          <a:lumMod val="75000"/>
        </a:schemeClr>
      </a:solidFill>
    </a:ln>
  </c:spPr>
  <c:printSettings>
    <c:headerFooter/>
    <c:pageMargins b="1.0" l="0.75" r="0.75" t="1.0" header="0.5" footer="0.5"/>
    <c:pageSetup/>
  </c:printSettings>
  <c:userShapes r:id="rId1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000"/>
            </a:pPr>
            <a:r>
              <a:rPr lang="en-US" sz="4000"/>
              <a:t>Global</a:t>
            </a:r>
            <a:r>
              <a:rPr lang="en-US" sz="4000" baseline="0"/>
              <a:t> Mobile Search Market Share</a:t>
            </a:r>
            <a:endParaRPr lang="en-US" sz="4000"/>
          </a:p>
        </c:rich>
      </c:tx>
      <c:layout>
        <c:manualLayout>
          <c:xMode val="edge"/>
          <c:yMode val="edge"/>
          <c:x val="0.243856655050799"/>
          <c:y val="0.0106888361045131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'Mobile Search Share (2)'!$D$3</c:f>
              <c:strCache>
                <c:ptCount val="1"/>
                <c:pt idx="0">
                  <c:v>Google</c:v>
                </c:pt>
              </c:strCache>
            </c:strRef>
          </c:tx>
          <c:marker>
            <c:symbol val="none"/>
          </c:marker>
          <c:cat>
            <c:strRef>
              <c:f>'Mobile Search Share (2)'!$C$4:$C$64</c:f>
              <c:strCache>
                <c:ptCount val="61"/>
                <c:pt idx="0">
                  <c:v>Dec 08</c:v>
                </c:pt>
                <c:pt idx="1">
                  <c:v>Jan 09</c:v>
                </c:pt>
                <c:pt idx="2">
                  <c:v>Feb 09</c:v>
                </c:pt>
                <c:pt idx="3">
                  <c:v>Mar 09</c:v>
                </c:pt>
                <c:pt idx="4">
                  <c:v>Apr 09</c:v>
                </c:pt>
                <c:pt idx="5">
                  <c:v>May 09</c:v>
                </c:pt>
                <c:pt idx="6">
                  <c:v>Jun 09</c:v>
                </c:pt>
                <c:pt idx="7">
                  <c:v>Jul 09</c:v>
                </c:pt>
                <c:pt idx="8">
                  <c:v>Aug 09</c:v>
                </c:pt>
                <c:pt idx="9">
                  <c:v>Sep 09</c:v>
                </c:pt>
                <c:pt idx="10">
                  <c:v>Oct 09</c:v>
                </c:pt>
                <c:pt idx="11">
                  <c:v>Nov 09</c:v>
                </c:pt>
                <c:pt idx="12">
                  <c:v>Dec 09</c:v>
                </c:pt>
                <c:pt idx="13">
                  <c:v>Jan 10</c:v>
                </c:pt>
                <c:pt idx="14">
                  <c:v>Feb 10</c:v>
                </c:pt>
                <c:pt idx="15">
                  <c:v>Mar 10</c:v>
                </c:pt>
                <c:pt idx="16">
                  <c:v>Apr 10</c:v>
                </c:pt>
                <c:pt idx="17">
                  <c:v>May 10</c:v>
                </c:pt>
                <c:pt idx="18">
                  <c:v>Jun 10</c:v>
                </c:pt>
                <c:pt idx="19">
                  <c:v>Jul 10</c:v>
                </c:pt>
                <c:pt idx="20">
                  <c:v>Aug 10</c:v>
                </c:pt>
                <c:pt idx="21">
                  <c:v>Sep 10</c:v>
                </c:pt>
                <c:pt idx="22">
                  <c:v>Oct 10</c:v>
                </c:pt>
                <c:pt idx="23">
                  <c:v>Nov 10</c:v>
                </c:pt>
                <c:pt idx="24">
                  <c:v>Dec 10</c:v>
                </c:pt>
                <c:pt idx="25">
                  <c:v>Jan 11</c:v>
                </c:pt>
                <c:pt idx="26">
                  <c:v>Feb 11</c:v>
                </c:pt>
                <c:pt idx="27">
                  <c:v>Mar 11</c:v>
                </c:pt>
                <c:pt idx="28">
                  <c:v>Apr 11</c:v>
                </c:pt>
                <c:pt idx="29">
                  <c:v>May 11</c:v>
                </c:pt>
                <c:pt idx="30">
                  <c:v>Jun 11</c:v>
                </c:pt>
                <c:pt idx="31">
                  <c:v>Jul 11</c:v>
                </c:pt>
                <c:pt idx="32">
                  <c:v>Aug 11</c:v>
                </c:pt>
                <c:pt idx="33">
                  <c:v>Sep 11</c:v>
                </c:pt>
                <c:pt idx="34">
                  <c:v>Oct 11</c:v>
                </c:pt>
                <c:pt idx="35">
                  <c:v>Nov 11</c:v>
                </c:pt>
                <c:pt idx="36">
                  <c:v>Dec 11</c:v>
                </c:pt>
                <c:pt idx="37">
                  <c:v>Jan 12</c:v>
                </c:pt>
                <c:pt idx="38">
                  <c:v>Feb 12</c:v>
                </c:pt>
                <c:pt idx="39">
                  <c:v>Mar 12</c:v>
                </c:pt>
                <c:pt idx="40">
                  <c:v>Apr 12</c:v>
                </c:pt>
                <c:pt idx="41">
                  <c:v>May 12</c:v>
                </c:pt>
                <c:pt idx="42">
                  <c:v>Jun 12 </c:v>
                </c:pt>
                <c:pt idx="43">
                  <c:v>Jul 12</c:v>
                </c:pt>
                <c:pt idx="44">
                  <c:v>Aug 12</c:v>
                </c:pt>
                <c:pt idx="45">
                  <c:v>Sep 12</c:v>
                </c:pt>
                <c:pt idx="46">
                  <c:v>Oct 12</c:v>
                </c:pt>
                <c:pt idx="47">
                  <c:v>Nov 12</c:v>
                </c:pt>
                <c:pt idx="48">
                  <c:v>Dec 12</c:v>
                </c:pt>
                <c:pt idx="49">
                  <c:v>Jan 13</c:v>
                </c:pt>
                <c:pt idx="50">
                  <c:v>Feb 13</c:v>
                </c:pt>
                <c:pt idx="51">
                  <c:v>Mar 13</c:v>
                </c:pt>
                <c:pt idx="52">
                  <c:v>Apr 13</c:v>
                </c:pt>
                <c:pt idx="53">
                  <c:v>May 13</c:v>
                </c:pt>
                <c:pt idx="54">
                  <c:v>Jun 13</c:v>
                </c:pt>
                <c:pt idx="55">
                  <c:v>Jul 13</c:v>
                </c:pt>
                <c:pt idx="56">
                  <c:v>Aug 13</c:v>
                </c:pt>
                <c:pt idx="57">
                  <c:v>Sep 13</c:v>
                </c:pt>
                <c:pt idx="58">
                  <c:v>Oct 13</c:v>
                </c:pt>
                <c:pt idx="59">
                  <c:v>Nov 13</c:v>
                </c:pt>
                <c:pt idx="60">
                  <c:v>Dec 13</c:v>
                </c:pt>
              </c:strCache>
            </c:strRef>
          </c:cat>
          <c:val>
            <c:numRef>
              <c:f>'Mobile Search Share (2)'!$D$4:$D$64</c:f>
              <c:numCache>
                <c:formatCode>0%</c:formatCode>
                <c:ptCount val="61"/>
                <c:pt idx="0">
                  <c:v>0.9591</c:v>
                </c:pt>
                <c:pt idx="1">
                  <c:v>0.9609</c:v>
                </c:pt>
                <c:pt idx="2">
                  <c:v>0.9653</c:v>
                </c:pt>
                <c:pt idx="3">
                  <c:v>0.9642</c:v>
                </c:pt>
                <c:pt idx="4">
                  <c:v>0.963</c:v>
                </c:pt>
                <c:pt idx="5">
                  <c:v>0.9637</c:v>
                </c:pt>
                <c:pt idx="6">
                  <c:v>0.9586</c:v>
                </c:pt>
                <c:pt idx="7">
                  <c:v>0.9555</c:v>
                </c:pt>
                <c:pt idx="8">
                  <c:v>0.9558</c:v>
                </c:pt>
                <c:pt idx="9">
                  <c:v>0.9676</c:v>
                </c:pt>
                <c:pt idx="10">
                  <c:v>0.9627</c:v>
                </c:pt>
                <c:pt idx="11">
                  <c:v>0.9719</c:v>
                </c:pt>
                <c:pt idx="12">
                  <c:v>0.9756</c:v>
                </c:pt>
                <c:pt idx="13">
                  <c:v>0.9765</c:v>
                </c:pt>
                <c:pt idx="14">
                  <c:v>0.9807</c:v>
                </c:pt>
                <c:pt idx="15">
                  <c:v>0.9826</c:v>
                </c:pt>
                <c:pt idx="16">
                  <c:v>0.9829</c:v>
                </c:pt>
                <c:pt idx="17">
                  <c:v>0.9827</c:v>
                </c:pt>
                <c:pt idx="18">
                  <c:v>0.9824</c:v>
                </c:pt>
                <c:pt idx="19">
                  <c:v>0.983</c:v>
                </c:pt>
                <c:pt idx="20">
                  <c:v>0.9839</c:v>
                </c:pt>
                <c:pt idx="21">
                  <c:v>0.9834</c:v>
                </c:pt>
                <c:pt idx="22">
                  <c:v>0.9746</c:v>
                </c:pt>
                <c:pt idx="23">
                  <c:v>0.9729</c:v>
                </c:pt>
                <c:pt idx="24">
                  <c:v>0.9732</c:v>
                </c:pt>
                <c:pt idx="25">
                  <c:v>0.9741</c:v>
                </c:pt>
                <c:pt idx="26">
                  <c:v>0.9721</c:v>
                </c:pt>
                <c:pt idx="27">
                  <c:v>0.9709</c:v>
                </c:pt>
                <c:pt idx="28">
                  <c:v>0.9729</c:v>
                </c:pt>
                <c:pt idx="29">
                  <c:v>0.9739</c:v>
                </c:pt>
                <c:pt idx="30">
                  <c:v>0.9738</c:v>
                </c:pt>
                <c:pt idx="31">
                  <c:v>0.9741</c:v>
                </c:pt>
                <c:pt idx="32">
                  <c:v>0.9747</c:v>
                </c:pt>
                <c:pt idx="33">
                  <c:v>0.9743</c:v>
                </c:pt>
                <c:pt idx="34">
                  <c:v>0.9735</c:v>
                </c:pt>
                <c:pt idx="35">
                  <c:v>0.9717</c:v>
                </c:pt>
                <c:pt idx="36">
                  <c:v>0.9726</c:v>
                </c:pt>
                <c:pt idx="37">
                  <c:v>0.9719</c:v>
                </c:pt>
                <c:pt idx="38">
                  <c:v>0.9708</c:v>
                </c:pt>
                <c:pt idx="39">
                  <c:v>0.9705</c:v>
                </c:pt>
                <c:pt idx="40">
                  <c:v>0.9693</c:v>
                </c:pt>
                <c:pt idx="41">
                  <c:v>0.969</c:v>
                </c:pt>
                <c:pt idx="42">
                  <c:v>0.9698</c:v>
                </c:pt>
                <c:pt idx="43">
                  <c:v>0.9698</c:v>
                </c:pt>
                <c:pt idx="44">
                  <c:v>0.9693</c:v>
                </c:pt>
                <c:pt idx="45">
                  <c:v>0.9664</c:v>
                </c:pt>
                <c:pt idx="46">
                  <c:v>0.96</c:v>
                </c:pt>
                <c:pt idx="47">
                  <c:v>0.9598</c:v>
                </c:pt>
                <c:pt idx="48">
                  <c:v>0.958</c:v>
                </c:pt>
                <c:pt idx="49">
                  <c:v>0.9517</c:v>
                </c:pt>
                <c:pt idx="50">
                  <c:v>0.9452</c:v>
                </c:pt>
                <c:pt idx="51">
                  <c:v>0.9475</c:v>
                </c:pt>
                <c:pt idx="52">
                  <c:v>0.949</c:v>
                </c:pt>
                <c:pt idx="53">
                  <c:v>0.9434</c:v>
                </c:pt>
                <c:pt idx="54">
                  <c:v>0.9379</c:v>
                </c:pt>
                <c:pt idx="55">
                  <c:v>0.9364</c:v>
                </c:pt>
                <c:pt idx="56">
                  <c:v>0.9463</c:v>
                </c:pt>
                <c:pt idx="57">
                  <c:v>0.9396</c:v>
                </c:pt>
                <c:pt idx="58">
                  <c:v>0.9408</c:v>
                </c:pt>
                <c:pt idx="59">
                  <c:v>0.9443</c:v>
                </c:pt>
                <c:pt idx="60">
                  <c:v>0.9473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'Mobile Search Share (2)'!$E$3</c:f>
              <c:strCache>
                <c:ptCount val="1"/>
                <c:pt idx="0">
                  <c:v>Yahoo!</c:v>
                </c:pt>
              </c:strCache>
            </c:strRef>
          </c:tx>
          <c:marker>
            <c:symbol val="none"/>
          </c:marker>
          <c:cat>
            <c:strRef>
              <c:f>'Mobile Search Share (2)'!$C$4:$C$64</c:f>
              <c:strCache>
                <c:ptCount val="61"/>
                <c:pt idx="0">
                  <c:v>Dec 08</c:v>
                </c:pt>
                <c:pt idx="1">
                  <c:v>Jan 09</c:v>
                </c:pt>
                <c:pt idx="2">
                  <c:v>Feb 09</c:v>
                </c:pt>
                <c:pt idx="3">
                  <c:v>Mar 09</c:v>
                </c:pt>
                <c:pt idx="4">
                  <c:v>Apr 09</c:v>
                </c:pt>
                <c:pt idx="5">
                  <c:v>May 09</c:v>
                </c:pt>
                <c:pt idx="6">
                  <c:v>Jun 09</c:v>
                </c:pt>
                <c:pt idx="7">
                  <c:v>Jul 09</c:v>
                </c:pt>
                <c:pt idx="8">
                  <c:v>Aug 09</c:v>
                </c:pt>
                <c:pt idx="9">
                  <c:v>Sep 09</c:v>
                </c:pt>
                <c:pt idx="10">
                  <c:v>Oct 09</c:v>
                </c:pt>
                <c:pt idx="11">
                  <c:v>Nov 09</c:v>
                </c:pt>
                <c:pt idx="12">
                  <c:v>Dec 09</c:v>
                </c:pt>
                <c:pt idx="13">
                  <c:v>Jan 10</c:v>
                </c:pt>
                <c:pt idx="14">
                  <c:v>Feb 10</c:v>
                </c:pt>
                <c:pt idx="15">
                  <c:v>Mar 10</c:v>
                </c:pt>
                <c:pt idx="16">
                  <c:v>Apr 10</c:v>
                </c:pt>
                <c:pt idx="17">
                  <c:v>May 10</c:v>
                </c:pt>
                <c:pt idx="18">
                  <c:v>Jun 10</c:v>
                </c:pt>
                <c:pt idx="19">
                  <c:v>Jul 10</c:v>
                </c:pt>
                <c:pt idx="20">
                  <c:v>Aug 10</c:v>
                </c:pt>
                <c:pt idx="21">
                  <c:v>Sep 10</c:v>
                </c:pt>
                <c:pt idx="22">
                  <c:v>Oct 10</c:v>
                </c:pt>
                <c:pt idx="23">
                  <c:v>Nov 10</c:v>
                </c:pt>
                <c:pt idx="24">
                  <c:v>Dec 10</c:v>
                </c:pt>
                <c:pt idx="25">
                  <c:v>Jan 11</c:v>
                </c:pt>
                <c:pt idx="26">
                  <c:v>Feb 11</c:v>
                </c:pt>
                <c:pt idx="27">
                  <c:v>Mar 11</c:v>
                </c:pt>
                <c:pt idx="28">
                  <c:v>Apr 11</c:v>
                </c:pt>
                <c:pt idx="29">
                  <c:v>May 11</c:v>
                </c:pt>
                <c:pt idx="30">
                  <c:v>Jun 11</c:v>
                </c:pt>
                <c:pt idx="31">
                  <c:v>Jul 11</c:v>
                </c:pt>
                <c:pt idx="32">
                  <c:v>Aug 11</c:v>
                </c:pt>
                <c:pt idx="33">
                  <c:v>Sep 11</c:v>
                </c:pt>
                <c:pt idx="34">
                  <c:v>Oct 11</c:v>
                </c:pt>
                <c:pt idx="35">
                  <c:v>Nov 11</c:v>
                </c:pt>
                <c:pt idx="36">
                  <c:v>Dec 11</c:v>
                </c:pt>
                <c:pt idx="37">
                  <c:v>Jan 12</c:v>
                </c:pt>
                <c:pt idx="38">
                  <c:v>Feb 12</c:v>
                </c:pt>
                <c:pt idx="39">
                  <c:v>Mar 12</c:v>
                </c:pt>
                <c:pt idx="40">
                  <c:v>Apr 12</c:v>
                </c:pt>
                <c:pt idx="41">
                  <c:v>May 12</c:v>
                </c:pt>
                <c:pt idx="42">
                  <c:v>Jun 12 </c:v>
                </c:pt>
                <c:pt idx="43">
                  <c:v>Jul 12</c:v>
                </c:pt>
                <c:pt idx="44">
                  <c:v>Aug 12</c:v>
                </c:pt>
                <c:pt idx="45">
                  <c:v>Sep 12</c:v>
                </c:pt>
                <c:pt idx="46">
                  <c:v>Oct 12</c:v>
                </c:pt>
                <c:pt idx="47">
                  <c:v>Nov 12</c:v>
                </c:pt>
                <c:pt idx="48">
                  <c:v>Dec 12</c:v>
                </c:pt>
                <c:pt idx="49">
                  <c:v>Jan 13</c:v>
                </c:pt>
                <c:pt idx="50">
                  <c:v>Feb 13</c:v>
                </c:pt>
                <c:pt idx="51">
                  <c:v>Mar 13</c:v>
                </c:pt>
                <c:pt idx="52">
                  <c:v>Apr 13</c:v>
                </c:pt>
                <c:pt idx="53">
                  <c:v>May 13</c:v>
                </c:pt>
                <c:pt idx="54">
                  <c:v>Jun 13</c:v>
                </c:pt>
                <c:pt idx="55">
                  <c:v>Jul 13</c:v>
                </c:pt>
                <c:pt idx="56">
                  <c:v>Aug 13</c:v>
                </c:pt>
                <c:pt idx="57">
                  <c:v>Sep 13</c:v>
                </c:pt>
                <c:pt idx="58">
                  <c:v>Oct 13</c:v>
                </c:pt>
                <c:pt idx="59">
                  <c:v>Nov 13</c:v>
                </c:pt>
                <c:pt idx="60">
                  <c:v>Dec 13</c:v>
                </c:pt>
              </c:strCache>
            </c:strRef>
          </c:cat>
          <c:val>
            <c:numRef>
              <c:f>'Mobile Search Share (2)'!$E$4:$E$64</c:f>
              <c:numCache>
                <c:formatCode>0%</c:formatCode>
                <c:ptCount val="61"/>
                <c:pt idx="0">
                  <c:v>0.0369</c:v>
                </c:pt>
                <c:pt idx="1">
                  <c:v>0.0352</c:v>
                </c:pt>
                <c:pt idx="2">
                  <c:v>0.0312</c:v>
                </c:pt>
                <c:pt idx="3">
                  <c:v>0.0322</c:v>
                </c:pt>
                <c:pt idx="4">
                  <c:v>0.0326</c:v>
                </c:pt>
                <c:pt idx="5">
                  <c:v>0.0306</c:v>
                </c:pt>
                <c:pt idx="6">
                  <c:v>0.0334</c:v>
                </c:pt>
                <c:pt idx="7">
                  <c:v>0.0346</c:v>
                </c:pt>
                <c:pt idx="8">
                  <c:v>0.0299</c:v>
                </c:pt>
                <c:pt idx="9">
                  <c:v>0.0186</c:v>
                </c:pt>
                <c:pt idx="10">
                  <c:v>0.0216</c:v>
                </c:pt>
                <c:pt idx="11">
                  <c:v>0.0152</c:v>
                </c:pt>
                <c:pt idx="12">
                  <c:v>0.0128</c:v>
                </c:pt>
                <c:pt idx="13">
                  <c:v>0.0117</c:v>
                </c:pt>
                <c:pt idx="14">
                  <c:v>0.0089</c:v>
                </c:pt>
                <c:pt idx="15">
                  <c:v>0.0082</c:v>
                </c:pt>
                <c:pt idx="16">
                  <c:v>0.0084</c:v>
                </c:pt>
                <c:pt idx="17">
                  <c:v>0.0087</c:v>
                </c:pt>
                <c:pt idx="18">
                  <c:v>0.0089</c:v>
                </c:pt>
                <c:pt idx="19">
                  <c:v>0.008</c:v>
                </c:pt>
                <c:pt idx="20">
                  <c:v>0.0077</c:v>
                </c:pt>
                <c:pt idx="21">
                  <c:v>0.0079</c:v>
                </c:pt>
                <c:pt idx="22">
                  <c:v>0.016</c:v>
                </c:pt>
                <c:pt idx="23">
                  <c:v>0.0176</c:v>
                </c:pt>
                <c:pt idx="24">
                  <c:v>0.0178</c:v>
                </c:pt>
                <c:pt idx="25">
                  <c:v>0.0171</c:v>
                </c:pt>
                <c:pt idx="26">
                  <c:v>0.0163</c:v>
                </c:pt>
                <c:pt idx="27">
                  <c:v>0.0169</c:v>
                </c:pt>
                <c:pt idx="28">
                  <c:v>0.0171</c:v>
                </c:pt>
                <c:pt idx="29">
                  <c:v>0.0172</c:v>
                </c:pt>
                <c:pt idx="30">
                  <c:v>0.0174</c:v>
                </c:pt>
                <c:pt idx="31">
                  <c:v>0.0168</c:v>
                </c:pt>
                <c:pt idx="32">
                  <c:v>0.0164</c:v>
                </c:pt>
                <c:pt idx="33">
                  <c:v>0.0169</c:v>
                </c:pt>
                <c:pt idx="34">
                  <c:v>0.0172</c:v>
                </c:pt>
                <c:pt idx="35">
                  <c:v>0.018</c:v>
                </c:pt>
                <c:pt idx="36">
                  <c:v>0.0174</c:v>
                </c:pt>
                <c:pt idx="37">
                  <c:v>0.0178</c:v>
                </c:pt>
                <c:pt idx="38">
                  <c:v>0.0187</c:v>
                </c:pt>
                <c:pt idx="39">
                  <c:v>0.019</c:v>
                </c:pt>
                <c:pt idx="40">
                  <c:v>0.02</c:v>
                </c:pt>
                <c:pt idx="41">
                  <c:v>0.0202</c:v>
                </c:pt>
                <c:pt idx="42">
                  <c:v>0.0199</c:v>
                </c:pt>
                <c:pt idx="43">
                  <c:v>0.02</c:v>
                </c:pt>
                <c:pt idx="44">
                  <c:v>0.0203</c:v>
                </c:pt>
                <c:pt idx="45">
                  <c:v>0.0217</c:v>
                </c:pt>
                <c:pt idx="46">
                  <c:v>0.026</c:v>
                </c:pt>
                <c:pt idx="47">
                  <c:v>0.0272</c:v>
                </c:pt>
                <c:pt idx="48">
                  <c:v>0.0292</c:v>
                </c:pt>
                <c:pt idx="49">
                  <c:v>0.0333</c:v>
                </c:pt>
                <c:pt idx="50">
                  <c:v>0.0353</c:v>
                </c:pt>
                <c:pt idx="51">
                  <c:v>0.0345</c:v>
                </c:pt>
                <c:pt idx="52">
                  <c:v>0.0346</c:v>
                </c:pt>
                <c:pt idx="53">
                  <c:v>0.0377</c:v>
                </c:pt>
                <c:pt idx="54">
                  <c:v>0.0408</c:v>
                </c:pt>
                <c:pt idx="55">
                  <c:v>0.0418</c:v>
                </c:pt>
                <c:pt idx="56">
                  <c:v>0.0351</c:v>
                </c:pt>
                <c:pt idx="57">
                  <c:v>0.0391</c:v>
                </c:pt>
                <c:pt idx="58">
                  <c:v>0.0371</c:v>
                </c:pt>
                <c:pt idx="59">
                  <c:v>0.034</c:v>
                </c:pt>
                <c:pt idx="60">
                  <c:v>0.0326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'Mobile Search Share (2)'!$F$3</c:f>
              <c:strCache>
                <c:ptCount val="1"/>
                <c:pt idx="0">
                  <c:v>bing</c:v>
                </c:pt>
              </c:strCache>
            </c:strRef>
          </c:tx>
          <c:marker>
            <c:symbol val="none"/>
          </c:marker>
          <c:cat>
            <c:strRef>
              <c:f>'Mobile Search Share (2)'!$C$4:$C$64</c:f>
              <c:strCache>
                <c:ptCount val="61"/>
                <c:pt idx="0">
                  <c:v>Dec 08</c:v>
                </c:pt>
                <c:pt idx="1">
                  <c:v>Jan 09</c:v>
                </c:pt>
                <c:pt idx="2">
                  <c:v>Feb 09</c:v>
                </c:pt>
                <c:pt idx="3">
                  <c:v>Mar 09</c:v>
                </c:pt>
                <c:pt idx="4">
                  <c:v>Apr 09</c:v>
                </c:pt>
                <c:pt idx="5">
                  <c:v>May 09</c:v>
                </c:pt>
                <c:pt idx="6">
                  <c:v>Jun 09</c:v>
                </c:pt>
                <c:pt idx="7">
                  <c:v>Jul 09</c:v>
                </c:pt>
                <c:pt idx="8">
                  <c:v>Aug 09</c:v>
                </c:pt>
                <c:pt idx="9">
                  <c:v>Sep 09</c:v>
                </c:pt>
                <c:pt idx="10">
                  <c:v>Oct 09</c:v>
                </c:pt>
                <c:pt idx="11">
                  <c:v>Nov 09</c:v>
                </c:pt>
                <c:pt idx="12">
                  <c:v>Dec 09</c:v>
                </c:pt>
                <c:pt idx="13">
                  <c:v>Jan 10</c:v>
                </c:pt>
                <c:pt idx="14">
                  <c:v>Feb 10</c:v>
                </c:pt>
                <c:pt idx="15">
                  <c:v>Mar 10</c:v>
                </c:pt>
                <c:pt idx="16">
                  <c:v>Apr 10</c:v>
                </c:pt>
                <c:pt idx="17">
                  <c:v>May 10</c:v>
                </c:pt>
                <c:pt idx="18">
                  <c:v>Jun 10</c:v>
                </c:pt>
                <c:pt idx="19">
                  <c:v>Jul 10</c:v>
                </c:pt>
                <c:pt idx="20">
                  <c:v>Aug 10</c:v>
                </c:pt>
                <c:pt idx="21">
                  <c:v>Sep 10</c:v>
                </c:pt>
                <c:pt idx="22">
                  <c:v>Oct 10</c:v>
                </c:pt>
                <c:pt idx="23">
                  <c:v>Nov 10</c:v>
                </c:pt>
                <c:pt idx="24">
                  <c:v>Dec 10</c:v>
                </c:pt>
                <c:pt idx="25">
                  <c:v>Jan 11</c:v>
                </c:pt>
                <c:pt idx="26">
                  <c:v>Feb 11</c:v>
                </c:pt>
                <c:pt idx="27">
                  <c:v>Mar 11</c:v>
                </c:pt>
                <c:pt idx="28">
                  <c:v>Apr 11</c:v>
                </c:pt>
                <c:pt idx="29">
                  <c:v>May 11</c:v>
                </c:pt>
                <c:pt idx="30">
                  <c:v>Jun 11</c:v>
                </c:pt>
                <c:pt idx="31">
                  <c:v>Jul 11</c:v>
                </c:pt>
                <c:pt idx="32">
                  <c:v>Aug 11</c:v>
                </c:pt>
                <c:pt idx="33">
                  <c:v>Sep 11</c:v>
                </c:pt>
                <c:pt idx="34">
                  <c:v>Oct 11</c:v>
                </c:pt>
                <c:pt idx="35">
                  <c:v>Nov 11</c:v>
                </c:pt>
                <c:pt idx="36">
                  <c:v>Dec 11</c:v>
                </c:pt>
                <c:pt idx="37">
                  <c:v>Jan 12</c:v>
                </c:pt>
                <c:pt idx="38">
                  <c:v>Feb 12</c:v>
                </c:pt>
                <c:pt idx="39">
                  <c:v>Mar 12</c:v>
                </c:pt>
                <c:pt idx="40">
                  <c:v>Apr 12</c:v>
                </c:pt>
                <c:pt idx="41">
                  <c:v>May 12</c:v>
                </c:pt>
                <c:pt idx="42">
                  <c:v>Jun 12 </c:v>
                </c:pt>
                <c:pt idx="43">
                  <c:v>Jul 12</c:v>
                </c:pt>
                <c:pt idx="44">
                  <c:v>Aug 12</c:v>
                </c:pt>
                <c:pt idx="45">
                  <c:v>Sep 12</c:v>
                </c:pt>
                <c:pt idx="46">
                  <c:v>Oct 12</c:v>
                </c:pt>
                <c:pt idx="47">
                  <c:v>Nov 12</c:v>
                </c:pt>
                <c:pt idx="48">
                  <c:v>Dec 12</c:v>
                </c:pt>
                <c:pt idx="49">
                  <c:v>Jan 13</c:v>
                </c:pt>
                <c:pt idx="50">
                  <c:v>Feb 13</c:v>
                </c:pt>
                <c:pt idx="51">
                  <c:v>Mar 13</c:v>
                </c:pt>
                <c:pt idx="52">
                  <c:v>Apr 13</c:v>
                </c:pt>
                <c:pt idx="53">
                  <c:v>May 13</c:v>
                </c:pt>
                <c:pt idx="54">
                  <c:v>Jun 13</c:v>
                </c:pt>
                <c:pt idx="55">
                  <c:v>Jul 13</c:v>
                </c:pt>
                <c:pt idx="56">
                  <c:v>Aug 13</c:v>
                </c:pt>
                <c:pt idx="57">
                  <c:v>Sep 13</c:v>
                </c:pt>
                <c:pt idx="58">
                  <c:v>Oct 13</c:v>
                </c:pt>
                <c:pt idx="59">
                  <c:v>Nov 13</c:v>
                </c:pt>
                <c:pt idx="60">
                  <c:v>Dec 13</c:v>
                </c:pt>
              </c:strCache>
            </c:strRef>
          </c:cat>
          <c:val>
            <c:numRef>
              <c:f>'Mobile Search Share (2)'!$F$4:$F$64</c:f>
              <c:numCache>
                <c:formatCode>0%</c:formatCode>
                <c:ptCount val="6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0.0021</c:v>
                </c:pt>
                <c:pt idx="7">
                  <c:v>0.0027</c:v>
                </c:pt>
                <c:pt idx="8">
                  <c:v>0.0035</c:v>
                </c:pt>
                <c:pt idx="9">
                  <c:v>0.004</c:v>
                </c:pt>
                <c:pt idx="10">
                  <c:v>0.004</c:v>
                </c:pt>
                <c:pt idx="11">
                  <c:v>0.0039</c:v>
                </c:pt>
                <c:pt idx="12">
                  <c:v>0.0042</c:v>
                </c:pt>
                <c:pt idx="13">
                  <c:v>0.0043</c:v>
                </c:pt>
                <c:pt idx="14">
                  <c:v>0.004</c:v>
                </c:pt>
                <c:pt idx="15">
                  <c:v>0.004</c:v>
                </c:pt>
                <c:pt idx="16">
                  <c:v>0.004</c:v>
                </c:pt>
                <c:pt idx="17">
                  <c:v>0.0039</c:v>
                </c:pt>
                <c:pt idx="18">
                  <c:v>0.004</c:v>
                </c:pt>
                <c:pt idx="19">
                  <c:v>0.0046</c:v>
                </c:pt>
                <c:pt idx="20">
                  <c:v>0.0041</c:v>
                </c:pt>
                <c:pt idx="21">
                  <c:v>0.0043</c:v>
                </c:pt>
                <c:pt idx="22">
                  <c:v>0.0051</c:v>
                </c:pt>
                <c:pt idx="23">
                  <c:v>0.0052</c:v>
                </c:pt>
                <c:pt idx="24">
                  <c:v>0.0052</c:v>
                </c:pt>
                <c:pt idx="25">
                  <c:v>0.0052</c:v>
                </c:pt>
                <c:pt idx="26">
                  <c:v>0.0077</c:v>
                </c:pt>
                <c:pt idx="27">
                  <c:v>0.0081</c:v>
                </c:pt>
                <c:pt idx="28">
                  <c:v>0.0061</c:v>
                </c:pt>
                <c:pt idx="29">
                  <c:v>0.006</c:v>
                </c:pt>
                <c:pt idx="30">
                  <c:v>0.0058</c:v>
                </c:pt>
                <c:pt idx="31">
                  <c:v>0.0063</c:v>
                </c:pt>
                <c:pt idx="32">
                  <c:v>0.006</c:v>
                </c:pt>
                <c:pt idx="33">
                  <c:v>0.006</c:v>
                </c:pt>
                <c:pt idx="34">
                  <c:v>0.0064</c:v>
                </c:pt>
                <c:pt idx="35">
                  <c:v>0.0071</c:v>
                </c:pt>
                <c:pt idx="36">
                  <c:v>0.0067</c:v>
                </c:pt>
                <c:pt idx="37">
                  <c:v>0.0063</c:v>
                </c:pt>
                <c:pt idx="38">
                  <c:v>0.0065</c:v>
                </c:pt>
                <c:pt idx="39">
                  <c:v>0.0064</c:v>
                </c:pt>
                <c:pt idx="40">
                  <c:v>0.0065</c:v>
                </c:pt>
                <c:pt idx="41">
                  <c:v>0.0068</c:v>
                </c:pt>
                <c:pt idx="42">
                  <c:v>0.0064</c:v>
                </c:pt>
                <c:pt idx="43">
                  <c:v>0.0066</c:v>
                </c:pt>
                <c:pt idx="44">
                  <c:v>0.0069</c:v>
                </c:pt>
                <c:pt idx="45">
                  <c:v>0.0074</c:v>
                </c:pt>
                <c:pt idx="46">
                  <c:v>0.009</c:v>
                </c:pt>
                <c:pt idx="47">
                  <c:v>0.0084</c:v>
                </c:pt>
                <c:pt idx="48">
                  <c:v>0.0083</c:v>
                </c:pt>
                <c:pt idx="49">
                  <c:v>0.0082</c:v>
                </c:pt>
                <c:pt idx="50">
                  <c:v>0.009</c:v>
                </c:pt>
                <c:pt idx="51">
                  <c:v>0.01</c:v>
                </c:pt>
                <c:pt idx="52">
                  <c:v>0.0111</c:v>
                </c:pt>
                <c:pt idx="53">
                  <c:v>0.0134</c:v>
                </c:pt>
                <c:pt idx="54">
                  <c:v>0.0144</c:v>
                </c:pt>
                <c:pt idx="55">
                  <c:v>0.0147</c:v>
                </c:pt>
                <c:pt idx="56">
                  <c:v>0.012</c:v>
                </c:pt>
                <c:pt idx="57">
                  <c:v>0.0131</c:v>
                </c:pt>
                <c:pt idx="58">
                  <c:v>0.0121</c:v>
                </c:pt>
                <c:pt idx="59">
                  <c:v>0.0114</c:v>
                </c:pt>
                <c:pt idx="60">
                  <c:v>0.0114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719080"/>
        <c:axId val="2096724632"/>
      </c:lineChart>
      <c:catAx>
        <c:axId val="2096719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 i="1"/>
                </a:pPr>
                <a:r>
                  <a:rPr lang="en-US" sz="1800" b="0" i="1"/>
                  <a:t>Source: StatCounter</a:t>
                </a:r>
              </a:p>
            </c:rich>
          </c:tx>
          <c:layout>
            <c:manualLayout>
              <c:xMode val="edge"/>
              <c:yMode val="edge"/>
              <c:x val="9.04495130450227E-5"/>
              <c:y val="0.981988329249818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6724632"/>
        <c:crosses val="autoZero"/>
        <c:auto val="1"/>
        <c:lblAlgn val="ctr"/>
        <c:lblOffset val="100"/>
        <c:noMultiLvlLbl val="0"/>
      </c:catAx>
      <c:valAx>
        <c:axId val="2096724632"/>
        <c:scaling>
          <c:orientation val="minMax"/>
          <c:max val="1.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67190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9540390265108"/>
          <c:y val="0.923793554903024"/>
          <c:w val="0.237357261553348"/>
          <c:h val="0.0382016945031515"/>
        </c:manualLayout>
      </c:layout>
      <c:overlay val="0"/>
      <c:txPr>
        <a:bodyPr/>
        <a:lstStyle/>
        <a:p>
          <a:pPr>
            <a:defRPr sz="2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000"/>
            </a:pPr>
            <a:r>
              <a:rPr lang="en-US" sz="4000"/>
              <a:t>What Is</a:t>
            </a:r>
            <a:r>
              <a:rPr lang="en-US" sz="4000" baseline="0"/>
              <a:t> The Next Big Thing In Mobile?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2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WearablesNextBigThing!$A$3:$A$12</c:f>
              <c:strCache>
                <c:ptCount val="10"/>
                <c:pt idx="0">
                  <c:v>Other</c:v>
                </c:pt>
                <c:pt idx="1">
                  <c:v>Connected TV</c:v>
                </c:pt>
                <c:pt idx="2">
                  <c:v>Everything As A Service </c:v>
                </c:pt>
                <c:pt idx="3">
                  <c:v>Indoor Location</c:v>
                </c:pt>
                <c:pt idx="4">
                  <c:v>Distance Learning</c:v>
                </c:pt>
                <c:pt idx="5">
                  <c:v>Mobile Advertising</c:v>
                </c:pt>
                <c:pt idx="6">
                  <c:v>Mobile Health</c:v>
                </c:pt>
                <c:pt idx="7">
                  <c:v>Mobile Wallet</c:v>
                </c:pt>
                <c:pt idx="8">
                  <c:v>Connected Car</c:v>
                </c:pt>
                <c:pt idx="9">
                  <c:v>Wearables</c:v>
                </c:pt>
              </c:strCache>
            </c:strRef>
          </c:cat>
          <c:val>
            <c:numRef>
              <c:f>WearablesNextBigThing!$B$3:$B$12</c:f>
              <c:numCache>
                <c:formatCode>0%</c:formatCode>
                <c:ptCount val="10"/>
                <c:pt idx="0">
                  <c:v>0.06</c:v>
                </c:pt>
                <c:pt idx="1">
                  <c:v>0.09</c:v>
                </c:pt>
                <c:pt idx="2">
                  <c:v>0.19</c:v>
                </c:pt>
                <c:pt idx="3">
                  <c:v>0.02</c:v>
                </c:pt>
                <c:pt idx="4">
                  <c:v>0.04</c:v>
                </c:pt>
                <c:pt idx="5">
                  <c:v>0.07</c:v>
                </c:pt>
                <c:pt idx="6">
                  <c:v>0.07</c:v>
                </c:pt>
                <c:pt idx="7">
                  <c:v>0.17</c:v>
                </c:pt>
                <c:pt idx="8">
                  <c:v>0.07</c:v>
                </c:pt>
                <c:pt idx="9">
                  <c:v>0.22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9610472"/>
        <c:axId val="2099613480"/>
      </c:barChart>
      <c:catAx>
        <c:axId val="2099610472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9613480"/>
        <c:crosses val="autoZero"/>
        <c:auto val="1"/>
        <c:lblAlgn val="ctr"/>
        <c:lblOffset val="100"/>
        <c:noMultiLvlLbl val="0"/>
      </c:catAx>
      <c:valAx>
        <c:axId val="2099613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800" b="0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1"/>
                  <a:t>Source: Open</a:t>
                </a:r>
                <a:r>
                  <a:rPr lang="en-US" sz="1800" b="0" i="1" baseline="0"/>
                  <a:t> Mobile Media, July 2013; </a:t>
                </a:r>
                <a:r>
                  <a:rPr lang="en-US" sz="1800" b="0" i="1" baseline="0">
                    <a:effectLst/>
                  </a:rPr>
                  <a:t>n = 50+ Top-Level Mobile Executives Attending The Open Mobile Summit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0.000601664551503635"/>
              <c:y val="0.970071258907363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9610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>
                <a:solidFill>
                  <a:srgbClr val="000000"/>
                </a:solidFill>
              </a:defRPr>
            </a:pPr>
            <a:r>
              <a:rPr lang="en-US" sz="3600" i="0" baseline="0">
                <a:solidFill>
                  <a:srgbClr val="000000"/>
                </a:solidFill>
              </a:rPr>
              <a:t>Have You Ever Purchased A Wearable Computing Device Or Received One As A Gift?</a:t>
            </a:r>
          </a:p>
          <a:p>
            <a:pPr>
              <a:defRPr>
                <a:solidFill>
                  <a:srgbClr val="000000"/>
                </a:solidFill>
              </a:defRPr>
            </a:pPr>
            <a:r>
              <a:rPr lang="en-US" sz="2000" b="0" i="1" baseline="0">
                <a:solidFill>
                  <a:srgbClr val="000000"/>
                </a:solidFill>
              </a:rPr>
              <a:t>If So, Which One? (US Respondents)</a:t>
            </a:r>
            <a:endParaRPr lang="en-US" sz="2000" b="0" i="1">
              <a:solidFill>
                <a:srgbClr val="000000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581109373794883"/>
          <c:y val="0.16061684460261"/>
          <c:w val="0.925860567518107"/>
          <c:h val="0.65991313363409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tx2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'Wearables and Fitness Bands'!$I$5:$I$13</c:f>
              <c:strCache>
                <c:ptCount val="9"/>
                <c:pt idx="0">
                  <c:v>No</c:v>
                </c:pt>
                <c:pt idx="1">
                  <c:v>Yes</c:v>
                </c:pt>
                <c:pt idx="3">
                  <c:v>Nike+ Fuelband Or Activity Tracker</c:v>
                </c:pt>
                <c:pt idx="4">
                  <c:v>Fitbit</c:v>
                </c:pt>
                <c:pt idx="5">
                  <c:v>Bodymedia Fitcore</c:v>
                </c:pt>
                <c:pt idx="6">
                  <c:v>Pebble Watch</c:v>
                </c:pt>
                <c:pt idx="7">
                  <c:v>Jawbone UP</c:v>
                </c:pt>
                <c:pt idx="8">
                  <c:v>Recon Ski Goggles</c:v>
                </c:pt>
              </c:strCache>
            </c:strRef>
          </c:cat>
          <c:val>
            <c:numRef>
              <c:f>'Wearables and Fitness Bands'!$J$5:$J$13</c:f>
              <c:numCache>
                <c:formatCode>0%</c:formatCode>
                <c:ptCount val="9"/>
                <c:pt idx="0">
                  <c:v>0.8651</c:v>
                </c:pt>
                <c:pt idx="1">
                  <c:v>0.1349</c:v>
                </c:pt>
                <c:pt idx="3">
                  <c:v>0.2</c:v>
                </c:pt>
                <c:pt idx="4">
                  <c:v>0.12</c:v>
                </c:pt>
                <c:pt idx="5">
                  <c:v>0.06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8499912"/>
        <c:axId val="2068505832"/>
      </c:barChart>
      <c:catAx>
        <c:axId val="2068499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r>
                  <a:rPr lang="en-US" sz="1800" b="0" i="1">
                    <a:solidFill>
                      <a:srgbClr val="000000"/>
                    </a:solidFill>
                  </a:rPr>
                  <a:t>Source: Bloomberg/Survey</a:t>
                </a:r>
                <a:r>
                  <a:rPr lang="en-US" sz="1800" b="0" i="1" baseline="0">
                    <a:solidFill>
                      <a:srgbClr val="000000"/>
                    </a:solidFill>
                  </a:rPr>
                  <a:t> Monkey, April 2013</a:t>
                </a:r>
                <a:endParaRPr lang="en-US" sz="1800" b="0" i="1">
                  <a:solidFill>
                    <a:srgbClr val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0010271580236479"/>
              <c:y val="0.980867346938775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68505832"/>
        <c:crosses val="autoZero"/>
        <c:auto val="1"/>
        <c:lblAlgn val="ctr"/>
        <c:lblOffset val="100"/>
        <c:noMultiLvlLbl val="0"/>
      </c:catAx>
      <c:valAx>
        <c:axId val="2068505832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6849991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solidFill>
      <a:srgbClr val="FFFFFF"/>
    </a:solidFill>
  </c:spPr>
  <c:printSettings>
    <c:headerFooter/>
    <c:pageMargins b="1.0" l="0.75" r="0.75" t="1.0" header="0.5" footer="0.5"/>
    <c:pageSetup/>
  </c:printSettings>
  <c:userShapes r:id="rId1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>
                <a:solidFill>
                  <a:srgbClr val="000000"/>
                </a:solidFill>
              </a:defRPr>
            </a:pPr>
            <a:r>
              <a:rPr lang="en-US" sz="4000">
                <a:solidFill>
                  <a:srgbClr val="000000"/>
                </a:solidFill>
              </a:rPr>
              <a:t>Samsung Galaxy Gear Vs. Pebble Smart Watch</a:t>
            </a:r>
          </a:p>
          <a:p>
            <a:pPr>
              <a:defRPr>
                <a:solidFill>
                  <a:srgbClr val="000000"/>
                </a:solidFill>
              </a:defRPr>
            </a:pPr>
            <a:r>
              <a:rPr lang="en-US" b="0" i="1">
                <a:solidFill>
                  <a:srgbClr val="000000"/>
                </a:solidFill>
              </a:rPr>
              <a:t>Estimated Shipments And</a:t>
            </a:r>
            <a:r>
              <a:rPr lang="en-US" b="0" i="1" baseline="0">
                <a:solidFill>
                  <a:srgbClr val="000000"/>
                </a:solidFill>
              </a:rPr>
              <a:t> Retail Sales - First Two Months</a:t>
            </a:r>
            <a:endParaRPr lang="en-US" b="0" i="1">
              <a:solidFill>
                <a:srgbClr val="000000"/>
              </a:solidFill>
            </a:endParaRPr>
          </a:p>
        </c:rich>
      </c:tx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SamsungGalaxyGear!$A$6</c:f>
              <c:strCache>
                <c:ptCount val="1"/>
                <c:pt idx="0">
                  <c:v>Galaxy Gear</c:v>
                </c:pt>
              </c:strCache>
            </c:strRef>
          </c:tx>
          <c:spPr>
            <a:solidFill>
              <a:schemeClr val="accent1"/>
            </a:solidFill>
          </c:spPr>
          <c:dLbls>
            <c:dLbl>
              <c:idx val="0"/>
              <c:layout>
                <c:manualLayout>
                  <c:x val="0.212201591511936"/>
                  <c:y val="-0.229216152019002"/>
                </c:manualLayout>
              </c:layout>
              <c:tx>
                <c:rich>
                  <a:bodyPr/>
                  <a:lstStyle/>
                  <a:p>
                    <a:pPr>
                      <a:defRPr sz="2000">
                        <a:solidFill>
                          <a:srgbClr val="000000"/>
                        </a:solidFill>
                      </a:defRPr>
                    </a:pPr>
                    <a:r>
                      <a:rPr lang="en-US" sz="2000">
                        <a:solidFill>
                          <a:srgbClr val="000000"/>
                        </a:solidFill>
                      </a:rPr>
                      <a:t>Galaxy Gear </a:t>
                    </a:r>
                  </a:p>
                  <a:p>
                    <a:pPr>
                      <a:defRPr sz="2000">
                        <a:solidFill>
                          <a:srgbClr val="000000"/>
                        </a:solidFill>
                      </a:defRPr>
                    </a:pPr>
                    <a:r>
                      <a:rPr lang="en-US" sz="2000">
                        <a:solidFill>
                          <a:srgbClr val="000000"/>
                        </a:solidFill>
                      </a:rPr>
                      <a:t>Official Shipments</a:t>
                    </a:r>
                    <a:endParaRPr lang="en-US" sz="2000"/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SamsungGalaxyGear!$B$5:$C$5</c:f>
              <c:strCache>
                <c:ptCount val="2"/>
                <c:pt idx="0">
                  <c:v>Month 1</c:v>
                </c:pt>
                <c:pt idx="1">
                  <c:v>Month 2</c:v>
                </c:pt>
              </c:strCache>
            </c:strRef>
          </c:cat>
          <c:val>
            <c:numRef>
              <c:f>SamsungGalaxyGear!$B$6:$C$6</c:f>
              <c:numCache>
                <c:formatCode>_(* #,##0_);_(* \(#,##0\);_(* "-"??_);_(@_)</c:formatCode>
                <c:ptCount val="2"/>
                <c:pt idx="0" formatCode="General">
                  <c:v>0.0</c:v>
                </c:pt>
                <c:pt idx="1">
                  <c:v>800000.0</c:v>
                </c:pt>
              </c:numCache>
            </c:numRef>
          </c:val>
        </c:ser>
        <c:ser>
          <c:idx val="2"/>
          <c:order val="1"/>
          <c:tx>
            <c:strRef>
              <c:f>SamsungGalaxyGear!$A$8</c:f>
              <c:strCache>
                <c:ptCount val="1"/>
                <c:pt idx="0">
                  <c:v>Galaxy Gear Possible Shipments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0.193633952254642"/>
                  <c:y val="-0.0534441805225654"/>
                </c:manualLayout>
              </c:layout>
              <c:tx>
                <c:rich>
                  <a:bodyPr/>
                  <a:lstStyle/>
                  <a:p>
                    <a:pPr>
                      <a:defRPr sz="2000">
                        <a:solidFill>
                          <a:srgbClr val="000000"/>
                        </a:solidFill>
                      </a:defRPr>
                    </a:pPr>
                    <a:r>
                      <a:rPr lang="en-US" sz="2000">
                        <a:solidFill>
                          <a:srgbClr val="000000"/>
                        </a:solidFill>
                      </a:rPr>
                      <a:t>Galaxy Gear </a:t>
                    </a:r>
                  </a:p>
                  <a:p>
                    <a:pPr>
                      <a:defRPr sz="2000">
                        <a:solidFill>
                          <a:srgbClr val="000000"/>
                        </a:solidFill>
                      </a:defRPr>
                    </a:pPr>
                    <a:r>
                      <a:rPr lang="en-US" sz="2000">
                        <a:solidFill>
                          <a:srgbClr val="000000"/>
                        </a:solidFill>
                      </a:rPr>
                      <a:t>Low Estimate Retail Sales</a:t>
                    </a:r>
                    <a:endParaRPr lang="en-US" sz="2000"/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SamsungGalaxyGear!$B$5:$C$5</c:f>
              <c:strCache>
                <c:ptCount val="2"/>
                <c:pt idx="0">
                  <c:v>Month 1</c:v>
                </c:pt>
                <c:pt idx="1">
                  <c:v>Month 2</c:v>
                </c:pt>
              </c:strCache>
            </c:strRef>
          </c:cat>
          <c:val>
            <c:numRef>
              <c:f>SamsungGalaxyGear!$B$8:$C$8</c:f>
              <c:numCache>
                <c:formatCode>_(* #,##0_);_(* \(#,##0\);_(* "-"??_);_(@_)</c:formatCode>
                <c:ptCount val="2"/>
                <c:pt idx="0" formatCode="General">
                  <c:v>0.0</c:v>
                </c:pt>
                <c:pt idx="1">
                  <c:v>456</c:v>
                </c:pt>
              </c:numCache>
            </c:numRef>
          </c:val>
        </c:ser>
        <c:ser>
          <c:idx val="1"/>
          <c:order val="2"/>
          <c:tx>
            <c:strRef>
              <c:f>SamsungGalaxyGear!$A$7</c:f>
              <c:strCache>
                <c:ptCount val="1"/>
                <c:pt idx="0">
                  <c:v>Pebble</c:v>
                </c:pt>
              </c:strCache>
            </c:strRef>
          </c:tx>
          <c:spPr>
            <a:solidFill>
              <a:schemeClr val="accent4"/>
            </a:solidFill>
          </c:spPr>
          <c:dLbls>
            <c:dLbl>
              <c:idx val="0"/>
              <c:layout>
                <c:manualLayout>
                  <c:x val="0.357206012378426"/>
                  <c:y val="-0.067695961995249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000000"/>
                        </a:solidFill>
                      </a:rPr>
                      <a:t>Pebble Shipments </a:t>
                    </a:r>
                  </a:p>
                  <a:p>
                    <a:r>
                      <a:rPr lang="en-US">
                        <a:solidFill>
                          <a:srgbClr val="000000"/>
                        </a:solidFill>
                      </a:rPr>
                      <a:t>May-June</a:t>
                    </a:r>
                    <a:r>
                      <a:rPr lang="en-US" baseline="0">
                        <a:solidFill>
                          <a:srgbClr val="000000"/>
                        </a:solidFill>
                      </a:rPr>
                      <a:t> 2013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SamsungGalaxyGear!$B$5:$C$5</c:f>
              <c:strCache>
                <c:ptCount val="2"/>
                <c:pt idx="0">
                  <c:v>Month 1</c:v>
                </c:pt>
                <c:pt idx="1">
                  <c:v>Month 2</c:v>
                </c:pt>
              </c:strCache>
            </c:strRef>
          </c:cat>
          <c:val>
            <c:numRef>
              <c:f>SamsungGalaxyGear!$B$7:$C$7</c:f>
              <c:numCache>
                <c:formatCode>_(* #,##0_);_(* \(#,##0\);_(* "-"??_);_(@_)</c:formatCode>
                <c:ptCount val="2"/>
                <c:pt idx="0" formatCode="General">
                  <c:v>0.0</c:v>
                </c:pt>
                <c:pt idx="1">
                  <c:v>27849.0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8416216"/>
        <c:axId val="2099592824"/>
      </c:areaChart>
      <c:catAx>
        <c:axId val="2068416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 i="1">
                    <a:solidFill>
                      <a:srgbClr val="000000"/>
                    </a:solidFill>
                  </a:defRPr>
                </a:pPr>
                <a:r>
                  <a:rPr lang="en-US" sz="1800" b="0" i="1">
                    <a:solidFill>
                      <a:srgbClr val="000000"/>
                    </a:solidFill>
                  </a:rPr>
                  <a:t>Source: Samsung,</a:t>
                </a:r>
                <a:r>
                  <a:rPr lang="en-US" sz="1800" b="0" i="1" baseline="0">
                    <a:solidFill>
                      <a:srgbClr val="000000"/>
                    </a:solidFill>
                  </a:rPr>
                  <a:t> New Reports, BII Estimates </a:t>
                </a:r>
                <a:endParaRPr lang="en-US" sz="1800" b="0" i="1">
                  <a:solidFill>
                    <a:srgbClr val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000406998196843452"/>
              <c:y val="0.982185273159145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9592824"/>
        <c:crosses val="autoZero"/>
        <c:auto val="1"/>
        <c:lblAlgn val="ctr"/>
        <c:lblOffset val="100"/>
        <c:noMultiLvlLbl val="0"/>
      </c:catAx>
      <c:valAx>
        <c:axId val="209959282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68416216"/>
        <c:crosses val="autoZero"/>
        <c:crossBetween val="midCat"/>
      </c:valAx>
      <c:spPr>
        <a:noFill/>
      </c:spPr>
    </c:plotArea>
    <c:plotVisOnly val="1"/>
    <c:dispBlanksAs val="zero"/>
    <c:showDLblsOverMax val="0"/>
  </c:chart>
  <c:spPr>
    <a:solidFill>
      <a:srgbClr val="FFFFFF"/>
    </a:solidFill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3200"/>
              <a:t>Consumers</a:t>
            </a:r>
            <a:r>
              <a:rPr lang="en-US" sz="3200" baseline="0"/>
              <a:t> Are Interested In Smart Medical Devices And Wristwear</a:t>
            </a:r>
            <a:endParaRPr lang="en-US" sz="3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cat>
            <c:strRef>
              <c:f>'Consumer Interest'!$A$2:$A$5</c:f>
              <c:strCache>
                <c:ptCount val="4"/>
                <c:pt idx="0">
                  <c:v>Tech-Sensitive Textiles And Clothing</c:v>
                </c:pt>
                <c:pt idx="1">
                  <c:v>Headset/Eyeglasses</c:v>
                </c:pt>
                <c:pt idx="2">
                  <c:v>Sensor-Enabled Wristwear</c:v>
                </c:pt>
                <c:pt idx="3">
                  <c:v>Medical Devices That Transmit Data</c:v>
                </c:pt>
              </c:strCache>
            </c:strRef>
          </c:cat>
          <c:val>
            <c:numRef>
              <c:f>'Consumer Interest'!$B$2:$B$5</c:f>
              <c:numCache>
                <c:formatCode>0%</c:formatCode>
                <c:ptCount val="4"/>
                <c:pt idx="0">
                  <c:v>0.0842</c:v>
                </c:pt>
                <c:pt idx="1">
                  <c:v>0.2053</c:v>
                </c:pt>
                <c:pt idx="2">
                  <c:v>0.3263</c:v>
                </c:pt>
                <c:pt idx="3">
                  <c:v>0.3842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9697464"/>
        <c:axId val="2099700440"/>
      </c:barChart>
      <c:catAx>
        <c:axId val="2099697464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2099700440"/>
        <c:crosses val="autoZero"/>
        <c:auto val="1"/>
        <c:lblAlgn val="ctr"/>
        <c:lblOffset val="100"/>
        <c:noMultiLvlLbl val="0"/>
      </c:catAx>
      <c:valAx>
        <c:axId val="20997004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600" b="0" i="1"/>
                  <a:t>Source:</a:t>
                </a:r>
                <a:r>
                  <a:rPr lang="en-US" sz="1600" b="0" i="1" baseline="0"/>
                  <a:t> Bloomberg West/SurveyMonkey</a:t>
                </a:r>
                <a:endParaRPr lang="en-US" sz="1600" b="0" i="1"/>
              </a:p>
            </c:rich>
          </c:tx>
          <c:layout>
            <c:manualLayout>
              <c:xMode val="edge"/>
              <c:yMode val="edge"/>
              <c:x val="0.00866057593201562"/>
              <c:y val="0.978622327790974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2099697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400">
                <a:solidFill>
                  <a:srgbClr val="000000"/>
                </a:solidFill>
              </a:defRPr>
            </a:pPr>
            <a:r>
              <a:rPr lang="en-US" sz="4400">
                <a:solidFill>
                  <a:srgbClr val="000000"/>
                </a:solidFill>
              </a:rPr>
              <a:t>Global PC Shipments By</a:t>
            </a:r>
            <a:r>
              <a:rPr lang="en-US" sz="4400" baseline="0">
                <a:solidFill>
                  <a:srgbClr val="000000"/>
                </a:solidFill>
              </a:rPr>
              <a:t> Manufacturer</a:t>
            </a:r>
            <a:endParaRPr lang="en-US" sz="4400">
              <a:solidFill>
                <a:srgbClr val="000000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990433327186709"/>
          <c:y val="0.0965643848836444"/>
          <c:w val="0.865110410571838"/>
          <c:h val="0.794043171134103"/>
        </c:manualLayout>
      </c:layout>
      <c:areaChart>
        <c:grouping val="stacked"/>
        <c:varyColors val="0"/>
        <c:ser>
          <c:idx val="1"/>
          <c:order val="0"/>
          <c:tx>
            <c:strRef>
              <c:f>GlobalPCShipments!$E$4</c:f>
              <c:strCache>
                <c:ptCount val="1"/>
                <c:pt idx="0">
                  <c:v>Lenovo</c:v>
                </c:pt>
              </c:strCache>
            </c:strRef>
          </c:tx>
          <c:spPr>
            <a:solidFill>
              <a:schemeClr val="accent6"/>
            </a:solidFill>
          </c:spPr>
          <c:dLbls>
            <c:dLbl>
              <c:idx val="0"/>
              <c:layout>
                <c:manualLayout>
                  <c:x val="0.0675458431628231"/>
                  <c:y val="0.00268397407886138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 b="1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GlobalPCShipments!$F$2:$AC$2</c:f>
              <c:strCache>
                <c:ptCount val="24"/>
                <c:pt idx="0">
                  <c:v>1Q08</c:v>
                </c:pt>
                <c:pt idx="1">
                  <c:v>2Q08</c:v>
                </c:pt>
                <c:pt idx="2">
                  <c:v>3Q08</c:v>
                </c:pt>
                <c:pt idx="3">
                  <c:v>4Q08</c:v>
                </c:pt>
                <c:pt idx="4">
                  <c:v>1Q09</c:v>
                </c:pt>
                <c:pt idx="5">
                  <c:v>2Q09</c:v>
                </c:pt>
                <c:pt idx="6">
                  <c:v>3Q09</c:v>
                </c:pt>
                <c:pt idx="7">
                  <c:v>4Q09</c:v>
                </c:pt>
                <c:pt idx="8">
                  <c:v>1Q10</c:v>
                </c:pt>
                <c:pt idx="9">
                  <c:v>2Q10</c:v>
                </c:pt>
                <c:pt idx="10">
                  <c:v>3Q10</c:v>
                </c:pt>
                <c:pt idx="11">
                  <c:v>4Q10</c:v>
                </c:pt>
                <c:pt idx="12">
                  <c:v>1Q11</c:v>
                </c:pt>
                <c:pt idx="13">
                  <c:v>2Q11</c:v>
                </c:pt>
                <c:pt idx="14">
                  <c:v>3Q11</c:v>
                </c:pt>
                <c:pt idx="15">
                  <c:v>4Q11</c:v>
                </c:pt>
                <c:pt idx="16">
                  <c:v>1Q12</c:v>
                </c:pt>
                <c:pt idx="17">
                  <c:v>2Q12</c:v>
                </c:pt>
                <c:pt idx="18">
                  <c:v>3Q12</c:v>
                </c:pt>
                <c:pt idx="19">
                  <c:v>4Q12</c:v>
                </c:pt>
                <c:pt idx="20">
                  <c:v>1Q13</c:v>
                </c:pt>
                <c:pt idx="21">
                  <c:v>2Q13</c:v>
                </c:pt>
                <c:pt idx="22">
                  <c:v>3Q13</c:v>
                </c:pt>
                <c:pt idx="23">
                  <c:v>4Q13</c:v>
                </c:pt>
              </c:strCache>
            </c:strRef>
          </c:cat>
          <c:val>
            <c:numRef>
              <c:f>GlobalPCShipments!$F$4:$AC$4</c:f>
              <c:numCache>
                <c:formatCode>#,##0</c:formatCode>
                <c:ptCount val="24"/>
                <c:pt idx="0">
                  <c:v>4798.0</c:v>
                </c:pt>
                <c:pt idx="1">
                  <c:v>5581.0</c:v>
                </c:pt>
                <c:pt idx="2">
                  <c:v>5941.0</c:v>
                </c:pt>
                <c:pt idx="3">
                  <c:v>5509.3</c:v>
                </c:pt>
                <c:pt idx="4">
                  <c:v>4384.0</c:v>
                </c:pt>
                <c:pt idx="5">
                  <c:v>5645.8</c:v>
                </c:pt>
                <c:pt idx="6">
                  <c:v>6871.379</c:v>
                </c:pt>
                <c:pt idx="7">
                  <c:v>7848.6785</c:v>
                </c:pt>
                <c:pt idx="8">
                  <c:v>7002.3415</c:v>
                </c:pt>
                <c:pt idx="9">
                  <c:v>8356.136</c:v>
                </c:pt>
                <c:pt idx="10">
                  <c:v>9554.958500000001</c:v>
                </c:pt>
                <c:pt idx="11">
                  <c:v>10015.386</c:v>
                </c:pt>
                <c:pt idx="12">
                  <c:v>8609.3335</c:v>
                </c:pt>
                <c:pt idx="13">
                  <c:v>10725.1515</c:v>
                </c:pt>
                <c:pt idx="14">
                  <c:v>12557.878</c:v>
                </c:pt>
                <c:pt idx="15">
                  <c:v>12977.883</c:v>
                </c:pt>
                <c:pt idx="16">
                  <c:v>11666.255</c:v>
                </c:pt>
                <c:pt idx="17">
                  <c:v>12852.6505</c:v>
                </c:pt>
                <c:pt idx="18">
                  <c:v>13795.973</c:v>
                </c:pt>
                <c:pt idx="19">
                  <c:v>14040.834</c:v>
                </c:pt>
                <c:pt idx="20">
                  <c:v>11683.2</c:v>
                </c:pt>
                <c:pt idx="21">
                  <c:v>12648.1325</c:v>
                </c:pt>
                <c:pt idx="22">
                  <c:v>14145.1775</c:v>
                </c:pt>
                <c:pt idx="23">
                  <c:v>14436.0</c:v>
                </c:pt>
              </c:numCache>
            </c:numRef>
          </c:val>
        </c:ser>
        <c:ser>
          <c:idx val="0"/>
          <c:order val="1"/>
          <c:tx>
            <c:strRef>
              <c:f>GlobalPCShipments!$E$3</c:f>
              <c:strCache>
                <c:ptCount val="1"/>
                <c:pt idx="0">
                  <c:v>HP</c:v>
                </c:pt>
              </c:strCache>
            </c:strRef>
          </c:tx>
          <c:spPr>
            <a:solidFill>
              <a:schemeClr val="accent1"/>
            </a:solidFill>
          </c:spPr>
          <c:dLbls>
            <c:dLbl>
              <c:idx val="0"/>
              <c:layout>
                <c:manualLayout>
                  <c:x val="0.0248302765624101"/>
                  <c:y val="0.0030462213721419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 b="1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GlobalPCShipments!$F$2:$AC$2</c:f>
              <c:strCache>
                <c:ptCount val="24"/>
                <c:pt idx="0">
                  <c:v>1Q08</c:v>
                </c:pt>
                <c:pt idx="1">
                  <c:v>2Q08</c:v>
                </c:pt>
                <c:pt idx="2">
                  <c:v>3Q08</c:v>
                </c:pt>
                <c:pt idx="3">
                  <c:v>4Q08</c:v>
                </c:pt>
                <c:pt idx="4">
                  <c:v>1Q09</c:v>
                </c:pt>
                <c:pt idx="5">
                  <c:v>2Q09</c:v>
                </c:pt>
                <c:pt idx="6">
                  <c:v>3Q09</c:v>
                </c:pt>
                <c:pt idx="7">
                  <c:v>4Q09</c:v>
                </c:pt>
                <c:pt idx="8">
                  <c:v>1Q10</c:v>
                </c:pt>
                <c:pt idx="9">
                  <c:v>2Q10</c:v>
                </c:pt>
                <c:pt idx="10">
                  <c:v>3Q10</c:v>
                </c:pt>
                <c:pt idx="11">
                  <c:v>4Q10</c:v>
                </c:pt>
                <c:pt idx="12">
                  <c:v>1Q11</c:v>
                </c:pt>
                <c:pt idx="13">
                  <c:v>2Q11</c:v>
                </c:pt>
                <c:pt idx="14">
                  <c:v>3Q11</c:v>
                </c:pt>
                <c:pt idx="15">
                  <c:v>4Q11</c:v>
                </c:pt>
                <c:pt idx="16">
                  <c:v>1Q12</c:v>
                </c:pt>
                <c:pt idx="17">
                  <c:v>2Q12</c:v>
                </c:pt>
                <c:pt idx="18">
                  <c:v>3Q12</c:v>
                </c:pt>
                <c:pt idx="19">
                  <c:v>4Q12</c:v>
                </c:pt>
                <c:pt idx="20">
                  <c:v>1Q13</c:v>
                </c:pt>
                <c:pt idx="21">
                  <c:v>2Q13</c:v>
                </c:pt>
                <c:pt idx="22">
                  <c:v>3Q13</c:v>
                </c:pt>
                <c:pt idx="23">
                  <c:v>4Q13</c:v>
                </c:pt>
              </c:strCache>
            </c:strRef>
          </c:cat>
          <c:val>
            <c:numRef>
              <c:f>GlobalPCShipments!$F$3:$AC$3</c:f>
              <c:numCache>
                <c:formatCode>#,##0</c:formatCode>
                <c:ptCount val="24"/>
                <c:pt idx="0">
                  <c:v>12974.0</c:v>
                </c:pt>
                <c:pt idx="1">
                  <c:v>13012.0</c:v>
                </c:pt>
                <c:pt idx="2">
                  <c:v>14785.0</c:v>
                </c:pt>
                <c:pt idx="3">
                  <c:v>14239.9</c:v>
                </c:pt>
                <c:pt idx="4">
                  <c:v>12773.0</c:v>
                </c:pt>
                <c:pt idx="5">
                  <c:v>12869.0</c:v>
                </c:pt>
                <c:pt idx="6">
                  <c:v>15513.42</c:v>
                </c:pt>
                <c:pt idx="7">
                  <c:v>17950.993</c:v>
                </c:pt>
                <c:pt idx="8">
                  <c:v>15468.234</c:v>
                </c:pt>
                <c:pt idx="9">
                  <c:v>14638.9855</c:v>
                </c:pt>
                <c:pt idx="10">
                  <c:v>15615.327</c:v>
                </c:pt>
                <c:pt idx="11">
                  <c:v>17771.5905</c:v>
                </c:pt>
                <c:pt idx="12">
                  <c:v>15007.3695</c:v>
                </c:pt>
                <c:pt idx="13">
                  <c:v>15068.367</c:v>
                </c:pt>
                <c:pt idx="14">
                  <c:v>16434.9935</c:v>
                </c:pt>
                <c:pt idx="15">
                  <c:v>14912.14</c:v>
                </c:pt>
                <c:pt idx="16">
                  <c:v>15509.7065</c:v>
                </c:pt>
                <c:pt idx="17">
                  <c:v>13229.274</c:v>
                </c:pt>
                <c:pt idx="18">
                  <c:v>13748.3805</c:v>
                </c:pt>
                <c:pt idx="19">
                  <c:v>14834.0205</c:v>
                </c:pt>
                <c:pt idx="20">
                  <c:v>11842.389</c:v>
                </c:pt>
                <c:pt idx="21">
                  <c:v>12390.4435</c:v>
                </c:pt>
                <c:pt idx="22">
                  <c:v>13862.199</c:v>
                </c:pt>
                <c:pt idx="23">
                  <c:v>14356.0</c:v>
                </c:pt>
              </c:numCache>
            </c:numRef>
          </c:val>
        </c:ser>
        <c:ser>
          <c:idx val="2"/>
          <c:order val="2"/>
          <c:tx>
            <c:strRef>
              <c:f>GlobalPCShipments!$E$5</c:f>
              <c:strCache>
                <c:ptCount val="1"/>
                <c:pt idx="0">
                  <c:v>Dell</c:v>
                </c:pt>
              </c:strCache>
            </c:strRef>
          </c:tx>
          <c:spPr>
            <a:solidFill>
              <a:schemeClr val="accent2"/>
            </a:solidFill>
          </c:spPr>
          <c:dLbls>
            <c:dLbl>
              <c:idx val="0"/>
              <c:layout>
                <c:manualLayout>
                  <c:x val="-0.0193269174559666"/>
                  <c:y val="-0.003730388437326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 b="1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GlobalPCShipments!$F$2:$AC$2</c:f>
              <c:strCache>
                <c:ptCount val="24"/>
                <c:pt idx="0">
                  <c:v>1Q08</c:v>
                </c:pt>
                <c:pt idx="1">
                  <c:v>2Q08</c:v>
                </c:pt>
                <c:pt idx="2">
                  <c:v>3Q08</c:v>
                </c:pt>
                <c:pt idx="3">
                  <c:v>4Q08</c:v>
                </c:pt>
                <c:pt idx="4">
                  <c:v>1Q09</c:v>
                </c:pt>
                <c:pt idx="5">
                  <c:v>2Q09</c:v>
                </c:pt>
                <c:pt idx="6">
                  <c:v>3Q09</c:v>
                </c:pt>
                <c:pt idx="7">
                  <c:v>4Q09</c:v>
                </c:pt>
                <c:pt idx="8">
                  <c:v>1Q10</c:v>
                </c:pt>
                <c:pt idx="9">
                  <c:v>2Q10</c:v>
                </c:pt>
                <c:pt idx="10">
                  <c:v>3Q10</c:v>
                </c:pt>
                <c:pt idx="11">
                  <c:v>4Q10</c:v>
                </c:pt>
                <c:pt idx="12">
                  <c:v>1Q11</c:v>
                </c:pt>
                <c:pt idx="13">
                  <c:v>2Q11</c:v>
                </c:pt>
                <c:pt idx="14">
                  <c:v>3Q11</c:v>
                </c:pt>
                <c:pt idx="15">
                  <c:v>4Q11</c:v>
                </c:pt>
                <c:pt idx="16">
                  <c:v>1Q12</c:v>
                </c:pt>
                <c:pt idx="17">
                  <c:v>2Q12</c:v>
                </c:pt>
                <c:pt idx="18">
                  <c:v>3Q12</c:v>
                </c:pt>
                <c:pt idx="19">
                  <c:v>4Q12</c:v>
                </c:pt>
                <c:pt idx="20">
                  <c:v>1Q13</c:v>
                </c:pt>
                <c:pt idx="21">
                  <c:v>2Q13</c:v>
                </c:pt>
                <c:pt idx="22">
                  <c:v>3Q13</c:v>
                </c:pt>
                <c:pt idx="23">
                  <c:v>4Q13</c:v>
                </c:pt>
              </c:strCache>
            </c:strRef>
          </c:cat>
          <c:val>
            <c:numRef>
              <c:f>GlobalPCShipments!$F$5:$AC$5</c:f>
              <c:numCache>
                <c:formatCode>#,##0</c:formatCode>
                <c:ptCount val="24"/>
                <c:pt idx="0">
                  <c:v>10579.0</c:v>
                </c:pt>
                <c:pt idx="1">
                  <c:v>11160.0</c:v>
                </c:pt>
                <c:pt idx="2">
                  <c:v>11089.0</c:v>
                </c:pt>
                <c:pt idx="3">
                  <c:v>9839.299999999999</c:v>
                </c:pt>
                <c:pt idx="4">
                  <c:v>8406.0</c:v>
                </c:pt>
                <c:pt idx="5">
                  <c:v>8644.2</c:v>
                </c:pt>
                <c:pt idx="6">
                  <c:v>9908.099</c:v>
                </c:pt>
                <c:pt idx="7">
                  <c:v>10540.644</c:v>
                </c:pt>
                <c:pt idx="8">
                  <c:v>10339.883</c:v>
                </c:pt>
                <c:pt idx="9">
                  <c:v>10454.537</c:v>
                </c:pt>
                <c:pt idx="10">
                  <c:v>11006.0575</c:v>
                </c:pt>
                <c:pt idx="11">
                  <c:v>10976.1585</c:v>
                </c:pt>
                <c:pt idx="12">
                  <c:v>10161.179</c:v>
                </c:pt>
                <c:pt idx="13">
                  <c:v>10752.0035</c:v>
                </c:pt>
                <c:pt idx="14">
                  <c:v>10841.7565</c:v>
                </c:pt>
                <c:pt idx="15">
                  <c:v>11800.1935</c:v>
                </c:pt>
                <c:pt idx="16">
                  <c:v>9974.0605</c:v>
                </c:pt>
                <c:pt idx="17">
                  <c:v>9493.106</c:v>
                </c:pt>
                <c:pt idx="18">
                  <c:v>9357.819</c:v>
                </c:pt>
                <c:pt idx="19">
                  <c:v>9344.1955</c:v>
                </c:pt>
                <c:pt idx="20">
                  <c:v>8872.446</c:v>
                </c:pt>
                <c:pt idx="21">
                  <c:v>9152.316999999999</c:v>
                </c:pt>
                <c:pt idx="22">
                  <c:v>9412.600999999999</c:v>
                </c:pt>
                <c:pt idx="23">
                  <c:v>9902.0</c:v>
                </c:pt>
              </c:numCache>
            </c:numRef>
          </c:val>
        </c:ser>
        <c:ser>
          <c:idx val="3"/>
          <c:order val="3"/>
          <c:tx>
            <c:strRef>
              <c:f>GlobalPCShipments!$E$6</c:f>
              <c:strCache>
                <c:ptCount val="1"/>
                <c:pt idx="0">
                  <c:v>Acer</c:v>
                </c:pt>
              </c:strCache>
            </c:strRef>
          </c:tx>
          <c:spPr>
            <a:solidFill>
              <a:schemeClr val="accent3"/>
            </a:solidFill>
          </c:spPr>
          <c:dLbls>
            <c:dLbl>
              <c:idx val="0"/>
              <c:layout>
                <c:manualLayout>
                  <c:x val="-0.0346897789244698"/>
                  <c:y val="-0.00423743998921389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 b="1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GlobalPCShipments!$F$2:$AC$2</c:f>
              <c:strCache>
                <c:ptCount val="24"/>
                <c:pt idx="0">
                  <c:v>1Q08</c:v>
                </c:pt>
                <c:pt idx="1">
                  <c:v>2Q08</c:v>
                </c:pt>
                <c:pt idx="2">
                  <c:v>3Q08</c:v>
                </c:pt>
                <c:pt idx="3">
                  <c:v>4Q08</c:v>
                </c:pt>
                <c:pt idx="4">
                  <c:v>1Q09</c:v>
                </c:pt>
                <c:pt idx="5">
                  <c:v>2Q09</c:v>
                </c:pt>
                <c:pt idx="6">
                  <c:v>3Q09</c:v>
                </c:pt>
                <c:pt idx="7">
                  <c:v>4Q09</c:v>
                </c:pt>
                <c:pt idx="8">
                  <c:v>1Q10</c:v>
                </c:pt>
                <c:pt idx="9">
                  <c:v>2Q10</c:v>
                </c:pt>
                <c:pt idx="10">
                  <c:v>3Q10</c:v>
                </c:pt>
                <c:pt idx="11">
                  <c:v>4Q10</c:v>
                </c:pt>
                <c:pt idx="12">
                  <c:v>1Q11</c:v>
                </c:pt>
                <c:pt idx="13">
                  <c:v>2Q11</c:v>
                </c:pt>
                <c:pt idx="14">
                  <c:v>3Q11</c:v>
                </c:pt>
                <c:pt idx="15">
                  <c:v>4Q11</c:v>
                </c:pt>
                <c:pt idx="16">
                  <c:v>1Q12</c:v>
                </c:pt>
                <c:pt idx="17">
                  <c:v>2Q12</c:v>
                </c:pt>
                <c:pt idx="18">
                  <c:v>3Q12</c:v>
                </c:pt>
                <c:pt idx="19">
                  <c:v>4Q12</c:v>
                </c:pt>
                <c:pt idx="20">
                  <c:v>1Q13</c:v>
                </c:pt>
                <c:pt idx="21">
                  <c:v>2Q13</c:v>
                </c:pt>
                <c:pt idx="22">
                  <c:v>3Q13</c:v>
                </c:pt>
                <c:pt idx="23">
                  <c:v>4Q13</c:v>
                </c:pt>
              </c:strCache>
            </c:strRef>
          </c:cat>
          <c:val>
            <c:numRef>
              <c:f>GlobalPCShipments!$F$6:$AC$6</c:f>
              <c:numCache>
                <c:formatCode>#,##0</c:formatCode>
                <c:ptCount val="24"/>
                <c:pt idx="0">
                  <c:v>6911.0</c:v>
                </c:pt>
                <c:pt idx="1">
                  <c:v>6851.0</c:v>
                </c:pt>
                <c:pt idx="2">
                  <c:v>10098.0</c:v>
                </c:pt>
                <c:pt idx="3">
                  <c:v>8612.7</c:v>
                </c:pt>
                <c:pt idx="4">
                  <c:v>7779.0</c:v>
                </c:pt>
                <c:pt idx="5">
                  <c:v>8203.4</c:v>
                </c:pt>
                <c:pt idx="6">
                  <c:v>11726.586</c:v>
                </c:pt>
                <c:pt idx="7">
                  <c:v>11790.0455</c:v>
                </c:pt>
                <c:pt idx="8">
                  <c:v>11572.9295</c:v>
                </c:pt>
                <c:pt idx="9">
                  <c:v>10939.6275</c:v>
                </c:pt>
                <c:pt idx="10">
                  <c:v>12102.411</c:v>
                </c:pt>
                <c:pt idx="11">
                  <c:v>11343.303</c:v>
                </c:pt>
                <c:pt idx="12">
                  <c:v>9806.627</c:v>
                </c:pt>
                <c:pt idx="13">
                  <c:v>9147.6705</c:v>
                </c:pt>
                <c:pt idx="14">
                  <c:v>9411.786</c:v>
                </c:pt>
                <c:pt idx="15">
                  <c:v>9691.312</c:v>
                </c:pt>
                <c:pt idx="16">
                  <c:v>9153.261999999999</c:v>
                </c:pt>
                <c:pt idx="17">
                  <c:v>9333.1915</c:v>
                </c:pt>
                <c:pt idx="18">
                  <c:v>8523.6335</c:v>
                </c:pt>
                <c:pt idx="19">
                  <c:v>7790.8505</c:v>
                </c:pt>
                <c:pt idx="20">
                  <c:v>6496.592</c:v>
                </c:pt>
                <c:pt idx="21">
                  <c:v>6265.5</c:v>
                </c:pt>
                <c:pt idx="22">
                  <c:v>6066.8945</c:v>
                </c:pt>
                <c:pt idx="23">
                  <c:v>6002.0</c:v>
                </c:pt>
              </c:numCache>
            </c:numRef>
          </c:val>
        </c:ser>
        <c:ser>
          <c:idx val="5"/>
          <c:order val="4"/>
          <c:tx>
            <c:strRef>
              <c:f>GlobalPCShipments!$E$8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4"/>
            </a:solidFill>
          </c:spPr>
          <c:dLbls>
            <c:dLbl>
              <c:idx val="0"/>
              <c:layout>
                <c:manualLayout>
                  <c:x val="-0.0534534054355885"/>
                  <c:y val="0.0427074426219156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800" b="1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GlobalPCShipments!$F$2:$AC$2</c:f>
              <c:strCache>
                <c:ptCount val="24"/>
                <c:pt idx="0">
                  <c:v>1Q08</c:v>
                </c:pt>
                <c:pt idx="1">
                  <c:v>2Q08</c:v>
                </c:pt>
                <c:pt idx="2">
                  <c:v>3Q08</c:v>
                </c:pt>
                <c:pt idx="3">
                  <c:v>4Q08</c:v>
                </c:pt>
                <c:pt idx="4">
                  <c:v>1Q09</c:v>
                </c:pt>
                <c:pt idx="5">
                  <c:v>2Q09</c:v>
                </c:pt>
                <c:pt idx="6">
                  <c:v>3Q09</c:v>
                </c:pt>
                <c:pt idx="7">
                  <c:v>4Q09</c:v>
                </c:pt>
                <c:pt idx="8">
                  <c:v>1Q10</c:v>
                </c:pt>
                <c:pt idx="9">
                  <c:v>2Q10</c:v>
                </c:pt>
                <c:pt idx="10">
                  <c:v>3Q10</c:v>
                </c:pt>
                <c:pt idx="11">
                  <c:v>4Q10</c:v>
                </c:pt>
                <c:pt idx="12">
                  <c:v>1Q11</c:v>
                </c:pt>
                <c:pt idx="13">
                  <c:v>2Q11</c:v>
                </c:pt>
                <c:pt idx="14">
                  <c:v>3Q11</c:v>
                </c:pt>
                <c:pt idx="15">
                  <c:v>4Q11</c:v>
                </c:pt>
                <c:pt idx="16">
                  <c:v>1Q12</c:v>
                </c:pt>
                <c:pt idx="17">
                  <c:v>2Q12</c:v>
                </c:pt>
                <c:pt idx="18">
                  <c:v>3Q12</c:v>
                </c:pt>
                <c:pt idx="19">
                  <c:v>4Q12</c:v>
                </c:pt>
                <c:pt idx="20">
                  <c:v>1Q13</c:v>
                </c:pt>
                <c:pt idx="21">
                  <c:v>2Q13</c:v>
                </c:pt>
                <c:pt idx="22">
                  <c:v>3Q13</c:v>
                </c:pt>
                <c:pt idx="23">
                  <c:v>4Q13</c:v>
                </c:pt>
              </c:strCache>
            </c:strRef>
          </c:cat>
          <c:val>
            <c:numRef>
              <c:f>GlobalPCShipments!$F$8:$AC$8</c:f>
              <c:numCache>
                <c:formatCode>#,##0</c:formatCode>
                <c:ptCount val="24"/>
                <c:pt idx="0">
                  <c:v>36582.0</c:v>
                </c:pt>
                <c:pt idx="1">
                  <c:v>35137.0</c:v>
                </c:pt>
                <c:pt idx="2">
                  <c:v>38557.0</c:v>
                </c:pt>
                <c:pt idx="3">
                  <c:v>35523.5</c:v>
                </c:pt>
                <c:pt idx="4">
                  <c:v>32877.0</c:v>
                </c:pt>
                <c:pt idx="5">
                  <c:v>33269.1</c:v>
                </c:pt>
                <c:pt idx="6">
                  <c:v>38032.541</c:v>
                </c:pt>
                <c:pt idx="7">
                  <c:v>42019.7385</c:v>
                </c:pt>
                <c:pt idx="8">
                  <c:v>39806.8705</c:v>
                </c:pt>
                <c:pt idx="9">
                  <c:v>38411.155</c:v>
                </c:pt>
                <c:pt idx="10">
                  <c:v>40537.02</c:v>
                </c:pt>
                <c:pt idx="11">
                  <c:v>43049.3495</c:v>
                </c:pt>
                <c:pt idx="12">
                  <c:v>42626.0845</c:v>
                </c:pt>
                <c:pt idx="13">
                  <c:v>41497.866</c:v>
                </c:pt>
                <c:pt idx="14">
                  <c:v>44413.2365</c:v>
                </c:pt>
                <c:pt idx="15">
                  <c:v>46083.613</c:v>
                </c:pt>
                <c:pt idx="16">
                  <c:v>41742.2065</c:v>
                </c:pt>
                <c:pt idx="17">
                  <c:v>42191.4145</c:v>
                </c:pt>
                <c:pt idx="18">
                  <c:v>42224.219</c:v>
                </c:pt>
                <c:pt idx="19">
                  <c:v>44071.0705</c:v>
                </c:pt>
                <c:pt idx="20">
                  <c:v>38856.378</c:v>
                </c:pt>
                <c:pt idx="21">
                  <c:v>35405.1005</c:v>
                </c:pt>
                <c:pt idx="22">
                  <c:v>37457.2615</c:v>
                </c:pt>
                <c:pt idx="23">
                  <c:v>37860.0</c:v>
                </c:pt>
              </c:numCache>
            </c:numRef>
          </c:val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2069797496"/>
        <c:axId val="2069855208"/>
      </c:areaChart>
      <c:catAx>
        <c:axId val="2069797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r>
                  <a:rPr lang="en-US" sz="2000" b="0" i="1">
                    <a:solidFill>
                      <a:srgbClr val="000000"/>
                    </a:solidFill>
                  </a:rPr>
                  <a:t>Source: Gartner,</a:t>
                </a:r>
                <a:r>
                  <a:rPr lang="en-US" sz="2000" b="0" i="1" baseline="0">
                    <a:solidFill>
                      <a:srgbClr val="000000"/>
                    </a:solidFill>
                  </a:rPr>
                  <a:t> IDC</a:t>
                </a:r>
                <a:endParaRPr lang="en-US" sz="2000" b="0" i="1">
                  <a:solidFill>
                    <a:srgbClr val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00045855589337784"/>
              <c:y val="0.967676761826795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69855208"/>
        <c:crosses val="autoZero"/>
        <c:auto val="1"/>
        <c:lblAlgn val="ctr"/>
        <c:lblOffset val="100"/>
        <c:noMultiLvlLbl val="0"/>
      </c:catAx>
      <c:valAx>
        <c:axId val="2069855208"/>
        <c:scaling>
          <c:orientation val="minMax"/>
          <c:max val="10000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r>
                  <a:rPr lang="en-US" sz="2000">
                    <a:solidFill>
                      <a:srgbClr val="000000"/>
                    </a:solidFill>
                  </a:rPr>
                  <a:t>(thousands)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69797496"/>
        <c:crosses val="autoZero"/>
        <c:crossBetween val="midCat"/>
      </c:valAx>
      <c:spPr>
        <a:noFill/>
      </c:spPr>
    </c:plotArea>
    <c:plotVisOnly val="1"/>
    <c:dispBlanksAs val="zero"/>
    <c:showDLblsOverMax val="0"/>
  </c:chart>
  <c:spPr>
    <a:solidFill>
      <a:srgbClr val="FFFFFF"/>
    </a:solidFill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3600" b="1" i="0">
                <a:solidFill>
                  <a:srgbClr val="000000"/>
                </a:solidFill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effectLst/>
              </a:rPr>
              <a:t>Would You Feel Comforable If Someone You Were Interacting With Were Wearing Glasses Like These?*</a:t>
            </a:r>
            <a:r>
              <a:rPr lang="en-US" sz="3600" b="1" i="0" u="none" strike="noStrike" baseline="0">
                <a:solidFill>
                  <a:srgbClr val="000000"/>
                </a:solidFill>
              </a:rPr>
              <a:t> </a:t>
            </a:r>
            <a:endParaRPr lang="en-US" sz="3600" b="1" i="0">
              <a:solidFill>
                <a:srgbClr val="000000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5191451469279"/>
          <c:y val="0.138242280285036"/>
          <c:w val="0.604274265360641"/>
          <c:h val="0.805938242280285"/>
        </c:manualLayout>
      </c:layout>
      <c:pieChart>
        <c:varyColors val="1"/>
        <c:ser>
          <c:idx val="0"/>
          <c:order val="0"/>
          <c:tx>
            <c:strRef>
              <c:f>Interaction!$B$2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</c:dPt>
          <c:dPt>
            <c:idx val="1"/>
            <c:bubble3D val="0"/>
            <c:spPr>
              <a:solidFill>
                <a:schemeClr val="accent2"/>
              </a:solidFill>
            </c:spPr>
          </c:dPt>
          <c:dPt>
            <c:idx val="2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Interaction!$A$3:$A$5</c:f>
              <c:strCache>
                <c:ptCount val="3"/>
                <c:pt idx="0">
                  <c:v>Yes</c:v>
                </c:pt>
                <c:pt idx="1">
                  <c:v>No </c:v>
                </c:pt>
                <c:pt idx="2">
                  <c:v>Not Sure</c:v>
                </c:pt>
              </c:strCache>
            </c:strRef>
          </c:cat>
          <c:val>
            <c:numRef>
              <c:f>Interaction!$B$3:$B$5</c:f>
              <c:numCache>
                <c:formatCode>0%</c:formatCode>
                <c:ptCount val="3"/>
                <c:pt idx="0">
                  <c:v>0.28</c:v>
                </c:pt>
                <c:pt idx="1">
                  <c:v>0.53</c:v>
                </c:pt>
                <c:pt idx="2">
                  <c:v>0.19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000">
                <a:solidFill>
                  <a:srgbClr val="000000"/>
                </a:solidFill>
              </a:defRPr>
            </a:pPr>
            <a:r>
              <a:rPr lang="en-US" sz="4000">
                <a:solidFill>
                  <a:srgbClr val="000000"/>
                </a:solidFill>
              </a:rPr>
              <a:t>Average</a:t>
            </a:r>
            <a:r>
              <a:rPr lang="en-US" sz="4000" baseline="0">
                <a:solidFill>
                  <a:srgbClr val="000000"/>
                </a:solidFill>
              </a:rPr>
              <a:t> Daily Time Spent Per Person</a:t>
            </a:r>
          </a:p>
          <a:p>
            <a:pPr>
              <a:defRPr sz="4000">
                <a:solidFill>
                  <a:srgbClr val="000000"/>
                </a:solidFill>
              </a:defRPr>
            </a:pPr>
            <a:r>
              <a:rPr lang="en-US" sz="2400" b="0" i="1" baseline="0">
                <a:solidFill>
                  <a:srgbClr val="000000"/>
                </a:solidFill>
              </a:rPr>
              <a:t>U.S. Employed Citizens ages 25 to 54</a:t>
            </a:r>
            <a:endParaRPr lang="en-US" sz="2400" b="0" i="1">
              <a:solidFill>
                <a:srgbClr val="000000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TimeSpentDaily!$A$4</c:f>
              <c:strCache>
                <c:ptCount val="1"/>
                <c:pt idx="0">
                  <c:v>Working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TimeSpentDaily!$B$4</c:f>
              <c:numCache>
                <c:formatCode>General</c:formatCode>
                <c:ptCount val="1"/>
                <c:pt idx="0">
                  <c:v>8.8</c:v>
                </c:pt>
              </c:numCache>
            </c:numRef>
          </c:val>
        </c:ser>
        <c:ser>
          <c:idx val="2"/>
          <c:order val="1"/>
          <c:tx>
            <c:strRef>
              <c:f>TimeSpentDaily!$A$5</c:f>
              <c:strCache>
                <c:ptCount val="1"/>
                <c:pt idx="0">
                  <c:v>Sleeping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000000"/>
                        </a:solidFill>
                      </a:rPr>
                      <a:t>Sleeping
7.6 hours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TimeSpentDaily!$B$5</c:f>
              <c:numCache>
                <c:formatCode>General</c:formatCode>
                <c:ptCount val="1"/>
                <c:pt idx="0">
                  <c:v>7.6</c:v>
                </c:pt>
              </c:numCache>
            </c:numRef>
          </c:val>
        </c:ser>
        <c:ser>
          <c:idx val="3"/>
          <c:order val="2"/>
          <c:tx>
            <c:strRef>
              <c:f>TimeSpentDaily!$A$6</c:f>
              <c:strCache>
                <c:ptCount val="1"/>
                <c:pt idx="0">
                  <c:v>Leisure And Sports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000000"/>
                        </a:solidFill>
                      </a:rPr>
                      <a:t>Leisure And Sports </a:t>
                    </a:r>
                  </a:p>
                  <a:p>
                    <a:r>
                      <a:rPr lang="en-US">
                        <a:solidFill>
                          <a:srgbClr val="000000"/>
                        </a:solidFill>
                      </a:rPr>
                      <a:t>2.5 hours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TimeSpentDaily!$B$6</c:f>
              <c:numCache>
                <c:formatCode>General</c:formatCode>
                <c:ptCount val="1"/>
                <c:pt idx="0">
                  <c:v>2.5</c:v>
                </c:pt>
              </c:numCache>
            </c:numRef>
          </c:val>
        </c:ser>
        <c:ser>
          <c:idx val="0"/>
          <c:order val="3"/>
          <c:tx>
            <c:strRef>
              <c:f>TimeSpentDaily!$A$3</c:f>
              <c:strCache>
                <c:ptCount val="1"/>
                <c:pt idx="0">
                  <c:v>In The Car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000000"/>
                        </a:solidFill>
                      </a:rPr>
                      <a:t>In The Car 1.2 hours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TimeSpentDaily!$B$3</c:f>
              <c:numCache>
                <c:formatCode>General</c:formatCode>
                <c:ptCount val="1"/>
                <c:pt idx="0">
                  <c:v>1.2</c:v>
                </c:pt>
              </c:numCache>
            </c:numRef>
          </c:val>
        </c:ser>
        <c:ser>
          <c:idx val="4"/>
          <c:order val="4"/>
          <c:tx>
            <c:strRef>
              <c:f>TimeSpentDaily!$A$7</c:f>
              <c:strCache>
                <c:ptCount val="1"/>
                <c:pt idx="0">
                  <c:v>Eating And Drinking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000000"/>
                        </a:solidFill>
                      </a:rPr>
                      <a:t>Eating/Drinking 1.1 hours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TimeSpentDaily!$B$7</c:f>
              <c:numCache>
                <c:formatCode>General</c:formatCode>
                <c:ptCount val="1"/>
                <c:pt idx="0">
                  <c:v>1.1</c:v>
                </c:pt>
              </c:numCache>
            </c:numRef>
          </c:val>
        </c:ser>
        <c:ser>
          <c:idx val="5"/>
          <c:order val="5"/>
          <c:tx>
            <c:strRef>
              <c:f>TimeSpentDaily!$A$8</c:f>
              <c:strCache>
                <c:ptCount val="1"/>
                <c:pt idx="0">
                  <c:v>Household Activities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000000"/>
                        </a:solidFill>
                      </a:rPr>
                      <a:t>Household Work 1.1 hours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TimeSpentDaily!$B$8</c:f>
              <c:numCache>
                <c:formatCode>General</c:formatCode>
                <c:ptCount val="1"/>
                <c:pt idx="0">
                  <c:v>1.1</c:v>
                </c:pt>
              </c:numCache>
            </c:numRef>
          </c:val>
        </c:ser>
        <c:ser>
          <c:idx val="6"/>
          <c:order val="6"/>
          <c:tx>
            <c:strRef>
              <c:f>TimeSpentDaily!$A$9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2000">
                        <a:solidFill>
                          <a:srgbClr val="000000"/>
                        </a:solidFill>
                      </a:defRPr>
                    </a:pPr>
                    <a:r>
                      <a:rPr lang="en-US">
                        <a:solidFill>
                          <a:srgbClr val="000000"/>
                        </a:solidFill>
                      </a:rPr>
                      <a:t>Other 1.7 others</a:t>
                    </a:r>
                    <a:endParaRPr lang="en-US"/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TimeSpentDaily!$B$9</c:f>
              <c:numCache>
                <c:formatCode>General</c:formatCode>
                <c:ptCount val="1"/>
                <c:pt idx="0">
                  <c:v>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9862648"/>
        <c:axId val="2099868552"/>
      </c:barChart>
      <c:catAx>
        <c:axId val="20998626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800" b="0" i="1">
                    <a:solidFill>
                      <a:srgbClr val="000000"/>
                    </a:solidFill>
                  </a:defRPr>
                </a:pPr>
                <a:r>
                  <a:rPr lang="en-US" sz="1800" b="0" i="1">
                    <a:solidFill>
                      <a:srgbClr val="000000"/>
                    </a:solidFill>
                  </a:rPr>
                  <a:t>Source: Bureau</a:t>
                </a:r>
                <a:r>
                  <a:rPr lang="en-US" sz="1800" b="0" i="1" baseline="0">
                    <a:solidFill>
                      <a:srgbClr val="000000"/>
                    </a:solidFill>
                  </a:rPr>
                  <a:t> Of Labor Statistics</a:t>
                </a:r>
                <a:endParaRPr lang="en-US" sz="1800" b="0" i="1">
                  <a:solidFill>
                    <a:srgbClr val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000545852293841718"/>
              <c:y val="0.982185273159145"/>
            </c:manualLayout>
          </c:layout>
          <c:overlay val="0"/>
        </c:title>
        <c:majorTickMark val="out"/>
        <c:minorTickMark val="none"/>
        <c:tickLblPos val="nextTo"/>
        <c:crossAx val="2099868552"/>
        <c:crosses val="autoZero"/>
        <c:auto val="1"/>
        <c:lblAlgn val="ctr"/>
        <c:lblOffset val="100"/>
        <c:noMultiLvlLbl val="0"/>
      </c:catAx>
      <c:valAx>
        <c:axId val="2099868552"/>
        <c:scaling>
          <c:orientation val="minMax"/>
          <c:max val="24.0"/>
          <c:min val="0.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9862648"/>
        <c:crosses val="autoZero"/>
        <c:crossBetween val="between"/>
        <c:majorUnit val="12.0"/>
      </c:valAx>
      <c:spPr>
        <a:noFill/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>
                <a:solidFill>
                  <a:srgbClr val="000000"/>
                </a:solidFill>
              </a:defRPr>
            </a:pPr>
            <a:r>
              <a:rPr lang="en-US" sz="4000">
                <a:solidFill>
                  <a:srgbClr val="000000"/>
                </a:solidFill>
              </a:rPr>
              <a:t>Connected Car Unit Shipment Forecast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400369969517"/>
          <c:y val="0.103822789556433"/>
          <c:w val="0.845629321290528"/>
          <c:h val="0.784744656168273"/>
        </c:manualLayout>
      </c:layout>
      <c:areaChart>
        <c:grouping val="stacked"/>
        <c:varyColors val="0"/>
        <c:ser>
          <c:idx val="0"/>
          <c:order val="0"/>
          <c:tx>
            <c:strRef>
              <c:f>ConnectedCarUnitForecast!$B$12</c:f>
              <c:strCache>
                <c:ptCount val="1"/>
                <c:pt idx="0">
                  <c:v>Embedded</c:v>
                </c:pt>
              </c:strCache>
            </c:strRef>
          </c:tx>
          <c:spPr>
            <a:solidFill>
              <a:schemeClr val="tx2"/>
            </a:solidFill>
          </c:spPr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2200" b="1">
                    <a:solidFill>
                      <a:srgbClr val="FFFFFF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ConnectedCarUnitForecast!$C$11:$L$11</c:f>
              <c:strCache>
                <c:ptCount val="10"/>
                <c:pt idx="0">
                  <c:v>2009A</c:v>
                </c:pt>
                <c:pt idx="1">
                  <c:v>2010A</c:v>
                </c:pt>
                <c:pt idx="2">
                  <c:v>2011A</c:v>
                </c:pt>
                <c:pt idx="3">
                  <c:v>2012A</c:v>
                </c:pt>
                <c:pt idx="4">
                  <c:v>2013E</c:v>
                </c:pt>
                <c:pt idx="5">
                  <c:v>2014E</c:v>
                </c:pt>
                <c:pt idx="6">
                  <c:v>2015E</c:v>
                </c:pt>
                <c:pt idx="7">
                  <c:v>2016E</c:v>
                </c:pt>
                <c:pt idx="8">
                  <c:v>2017E</c:v>
                </c:pt>
                <c:pt idx="9">
                  <c:v>2018E</c:v>
                </c:pt>
              </c:strCache>
            </c:strRef>
          </c:cat>
          <c:val>
            <c:numRef>
              <c:f>ConnectedCarUnitForecast!$C$15:$L$15</c:f>
              <c:numCache>
                <c:formatCode>#,##0</c:formatCode>
                <c:ptCount val="10"/>
                <c:pt idx="0">
                  <c:v>2478.0</c:v>
                </c:pt>
                <c:pt idx="1">
                  <c:v>4093.0</c:v>
                </c:pt>
                <c:pt idx="2">
                  <c:v>6511.0</c:v>
                </c:pt>
                <c:pt idx="3">
                  <c:v>9981.0</c:v>
                </c:pt>
                <c:pt idx="4">
                  <c:v>14111.0</c:v>
                </c:pt>
                <c:pt idx="5">
                  <c:v>19899.0</c:v>
                </c:pt>
                <c:pt idx="6">
                  <c:v>31007.0</c:v>
                </c:pt>
                <c:pt idx="7">
                  <c:v>42922.0</c:v>
                </c:pt>
                <c:pt idx="8">
                  <c:v>56044.0</c:v>
                </c:pt>
                <c:pt idx="9">
                  <c:v>66948.0</c:v>
                </c:pt>
              </c:numCache>
            </c:numRef>
          </c:val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2099900600"/>
        <c:axId val="2099905992"/>
      </c:areaChart>
      <c:catAx>
        <c:axId val="2099900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solidFill>
                      <a:srgbClr val="000000"/>
                    </a:solidFill>
                  </a:defRPr>
                </a:pPr>
                <a:r>
                  <a:rPr lang="en-US" sz="2200" b="0" i="1">
                    <a:solidFill>
                      <a:srgbClr val="000000"/>
                    </a:solidFill>
                  </a:rPr>
                  <a:t>Source: SBD,GSMA</a:t>
                </a:r>
              </a:p>
            </c:rich>
          </c:tx>
          <c:layout>
            <c:manualLayout>
              <c:xMode val="edge"/>
              <c:yMode val="edge"/>
              <c:x val="0.000198688891769042"/>
              <c:y val="0.964260429494358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9905992"/>
        <c:crosses val="autoZero"/>
        <c:auto val="1"/>
        <c:lblAlgn val="ctr"/>
        <c:lblOffset val="100"/>
        <c:noMultiLvlLbl val="0"/>
      </c:catAx>
      <c:valAx>
        <c:axId val="2099905992"/>
        <c:scaling>
          <c:orientation val="minMax"/>
          <c:max val="7000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r>
                  <a:rPr lang="en-US" sz="2000">
                    <a:solidFill>
                      <a:srgbClr val="000000"/>
                    </a:solidFill>
                  </a:rPr>
                  <a:t>Unit Shipments (thousands)</a:t>
                </a:r>
              </a:p>
            </c:rich>
          </c:tx>
          <c:layout>
            <c:manualLayout>
              <c:xMode val="edge"/>
              <c:yMode val="edge"/>
              <c:x val="0.013599493690488"/>
              <c:y val="0.3392801979375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9900600"/>
        <c:crosses val="autoZero"/>
        <c:crossBetween val="midCat"/>
      </c:valAx>
      <c:spPr>
        <a:noFill/>
      </c:spPr>
    </c:plotArea>
    <c:plotVisOnly val="1"/>
    <c:dispBlanksAs val="zero"/>
    <c:showDLblsOverMax val="0"/>
  </c:chart>
  <c:spPr>
    <a:solidFill>
      <a:srgbClr val="FFFFFF"/>
    </a:solidFill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000">
                <a:solidFill>
                  <a:schemeClr val="tx1"/>
                </a:solidFill>
              </a:defRPr>
            </a:pPr>
            <a:r>
              <a:rPr lang="en-US" sz="4000">
                <a:solidFill>
                  <a:schemeClr val="tx1"/>
                </a:solidFill>
              </a:rPr>
              <a:t>Waze User Growth</a:t>
            </a:r>
          </a:p>
        </c:rich>
      </c:tx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3"/>
            </a:solidFill>
          </c:spPr>
          <c:cat>
            <c:strRef>
              <c:f>waze!$C$5:$J$5</c:f>
              <c:strCache>
                <c:ptCount val="8"/>
                <c:pt idx="0">
                  <c:v>Jul-11</c:v>
                </c:pt>
                <c:pt idx="1">
                  <c:v>Jan-12</c:v>
                </c:pt>
                <c:pt idx="2">
                  <c:v>Jul-12</c:v>
                </c:pt>
                <c:pt idx="3">
                  <c:v>Oct-12</c:v>
                </c:pt>
                <c:pt idx="4">
                  <c:v>Jan-13</c:v>
                </c:pt>
                <c:pt idx="5">
                  <c:v>Feb-13</c:v>
                </c:pt>
                <c:pt idx="6">
                  <c:v>Jun-13</c:v>
                </c:pt>
                <c:pt idx="7">
                  <c:v>Dec-13*</c:v>
                </c:pt>
              </c:strCache>
            </c:strRef>
          </c:cat>
          <c:val>
            <c:numRef>
              <c:f>waze!$C$6:$J$6</c:f>
              <c:numCache>
                <c:formatCode>#,##0</c:formatCode>
                <c:ptCount val="8"/>
                <c:pt idx="0">
                  <c:v>5000.0</c:v>
                </c:pt>
                <c:pt idx="1">
                  <c:v>10000.0</c:v>
                </c:pt>
                <c:pt idx="2">
                  <c:v>20000.0</c:v>
                </c:pt>
                <c:pt idx="3">
                  <c:v>29000.0</c:v>
                </c:pt>
                <c:pt idx="4">
                  <c:v>34000.0</c:v>
                </c:pt>
                <c:pt idx="5">
                  <c:v>40000.0</c:v>
                </c:pt>
                <c:pt idx="6">
                  <c:v>51000.0</c:v>
                </c:pt>
                <c:pt idx="7">
                  <c:v>80000.0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9949048"/>
        <c:axId val="2099955016"/>
      </c:areaChart>
      <c:catAx>
        <c:axId val="2099949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 i="1">
                    <a:solidFill>
                      <a:srgbClr val="000000"/>
                    </a:solidFill>
                  </a:defRPr>
                </a:pPr>
                <a:r>
                  <a:rPr lang="en-US" sz="1800" b="0" i="1">
                    <a:solidFill>
                      <a:srgbClr val="000000"/>
                    </a:solidFill>
                  </a:rPr>
                  <a:t>Source: News Reports, Company Releases,*BII</a:t>
                </a:r>
                <a:r>
                  <a:rPr lang="en-US" sz="1800" b="0" i="1" baseline="0">
                    <a:solidFill>
                      <a:srgbClr val="000000"/>
                    </a:solidFill>
                  </a:rPr>
                  <a:t> Estimate</a:t>
                </a:r>
                <a:endParaRPr lang="en-US" sz="1800" b="0" i="1">
                  <a:solidFill>
                    <a:srgbClr val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000856083872096509"/>
              <c:y val="0.982197356461631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9955016"/>
        <c:crosses val="autoZero"/>
        <c:auto val="1"/>
        <c:lblAlgn val="ctr"/>
        <c:lblOffset val="100"/>
        <c:noMultiLvlLbl val="0"/>
      </c:catAx>
      <c:valAx>
        <c:axId val="20999550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r>
                  <a:rPr lang="en-US" sz="2000">
                    <a:solidFill>
                      <a:srgbClr val="000000"/>
                    </a:solidFill>
                  </a:rPr>
                  <a:t>Thousands</a:t>
                </a:r>
                <a:r>
                  <a:rPr lang="en-US" sz="2000" baseline="0">
                    <a:solidFill>
                      <a:srgbClr val="000000"/>
                    </a:solidFill>
                  </a:rPr>
                  <a:t> Of Registered Users</a:t>
                </a:r>
                <a:endParaRPr lang="en-US" sz="2000">
                  <a:solidFill>
                    <a:srgbClr val="000000"/>
                  </a:solidFill>
                </a:endParaRP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solidFill>
                  <a:srgbClr val="000000"/>
                </a:solidFill>
              </a:defRPr>
            </a:pPr>
            <a:endParaRPr lang="en-US"/>
          </a:p>
        </c:txPr>
        <c:crossAx val="2099949048"/>
        <c:crosses val="autoZero"/>
        <c:crossBetween val="midCat"/>
      </c:valAx>
      <c:spPr>
        <a:noFill/>
      </c:spPr>
    </c:plotArea>
    <c:plotVisOnly val="1"/>
    <c:dispBlanksAs val="zero"/>
    <c:showDLblsOverMax val="0"/>
  </c:chart>
  <c:spPr>
    <a:solidFill>
      <a:schemeClr val="bg1"/>
    </a:solidFill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>
                <a:solidFill>
                  <a:srgbClr val="000000"/>
                </a:solidFill>
              </a:defRPr>
            </a:pPr>
            <a:r>
              <a:rPr lang="en-US" sz="4000">
                <a:solidFill>
                  <a:srgbClr val="000000"/>
                </a:solidFill>
              </a:rPr>
              <a:t>Breakdown Of The Average</a:t>
            </a:r>
            <a:r>
              <a:rPr lang="en-US" sz="4000" baseline="0">
                <a:solidFill>
                  <a:srgbClr val="000000"/>
                </a:solidFill>
              </a:rPr>
              <a:t> Smartphone Owner's Daily Time-Spend</a:t>
            </a:r>
          </a:p>
          <a:p>
            <a:pPr>
              <a:defRPr>
                <a:solidFill>
                  <a:srgbClr val="000000"/>
                </a:solidFill>
              </a:defRPr>
            </a:pPr>
            <a:r>
              <a:rPr lang="en-US" sz="2000" b="0" i="1" baseline="0">
                <a:solidFill>
                  <a:srgbClr val="000000"/>
                </a:solidFill>
              </a:rPr>
              <a:t>On Average, U.S. Smartphone Owners Spend 58 Minutes Daily On Their Phones</a:t>
            </a:r>
            <a:r>
              <a:rPr lang="en-US" sz="4000" b="0" i="1" baseline="0">
                <a:solidFill>
                  <a:srgbClr val="000000"/>
                </a:solidFill>
              </a:rPr>
              <a:t> </a:t>
            </a:r>
            <a:endParaRPr lang="en-US" sz="4000" b="0" i="1">
              <a:solidFill>
                <a:srgbClr val="000000"/>
              </a:solidFill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</c:dPt>
          <c:dPt>
            <c:idx val="1"/>
            <c:bubble3D val="0"/>
            <c:spPr>
              <a:solidFill>
                <a:schemeClr val="accent2"/>
              </a:solidFill>
            </c:spPr>
          </c:dPt>
          <c:dPt>
            <c:idx val="2"/>
            <c:bubble3D val="0"/>
            <c:spPr>
              <a:solidFill>
                <a:schemeClr val="accent3"/>
              </a:solidFill>
            </c:spPr>
          </c:dPt>
          <c:dPt>
            <c:idx val="3"/>
            <c:bubble3D val="0"/>
            <c:spPr>
              <a:solidFill>
                <a:schemeClr val="accent4"/>
              </a:solidFill>
            </c:spPr>
          </c:dPt>
          <c:dPt>
            <c:idx val="4"/>
            <c:bubble3D val="0"/>
            <c:spPr>
              <a:solidFill>
                <a:schemeClr val="accent5"/>
              </a:solidFill>
            </c:spPr>
          </c:dPt>
          <c:dPt>
            <c:idx val="5"/>
            <c:bubble3D val="0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0.0985103876708198"/>
                  <c:y val="0.01789346699833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051150895140665"/>
                  <c:y val="-0.0005176277537625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0357635972262151"/>
                  <c:y val="0.02134849533357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0265109626212129"/>
                  <c:y val="0.008883797482559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0613656474151773"/>
                  <c:y val="-0.01482185273159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0820582522910371"/>
                  <c:y val="0.05143050853797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0505753710884091"/>
                  <c:y val="0.02959937905624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200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rgbClr val="000000"/>
                  </a:solidFill>
                </a:ln>
              </c:spPr>
            </c:leaderLines>
          </c:dLbls>
          <c:cat>
            <c:strRef>
              <c:f>' People Spend 1 Hour A Day'!$A$3:$A$9</c:f>
              <c:strCache>
                <c:ptCount val="7"/>
                <c:pt idx="0">
                  <c:v>Other</c:v>
                </c:pt>
                <c:pt idx="1">
                  <c:v>Visit Websites</c:v>
                </c:pt>
                <c:pt idx="2">
                  <c:v>Games</c:v>
                </c:pt>
                <c:pt idx="3">
                  <c:v>Social Networking</c:v>
                </c:pt>
                <c:pt idx="4">
                  <c:v>Talk</c:v>
                </c:pt>
                <c:pt idx="5">
                  <c:v>Text</c:v>
                </c:pt>
                <c:pt idx="6">
                  <c:v>Email</c:v>
                </c:pt>
              </c:strCache>
            </c:strRef>
          </c:cat>
          <c:val>
            <c:numRef>
              <c:f>' People Spend 1 Hour A Day'!$B$3:$B$9</c:f>
              <c:numCache>
                <c:formatCode>0%</c:formatCode>
                <c:ptCount val="7"/>
                <c:pt idx="0">
                  <c:v>0.08</c:v>
                </c:pt>
                <c:pt idx="1">
                  <c:v>0.14</c:v>
                </c:pt>
                <c:pt idx="2">
                  <c:v>0.08</c:v>
                </c:pt>
                <c:pt idx="3">
                  <c:v>0.15</c:v>
                </c:pt>
                <c:pt idx="4">
                  <c:v>0.26</c:v>
                </c:pt>
                <c:pt idx="5">
                  <c:v>0.2</c:v>
                </c:pt>
                <c:pt idx="6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1.0" l="0.75" r="0.75" t="1.0" header="0.5" footer="0.5"/>
    <c:pageSetup orientation="portrait" horizontalDpi="-4" verticalDpi="-4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4000"/>
            </a:pPr>
            <a:r>
              <a:rPr lang="en-US" sz="4000"/>
              <a:t>Average Minutes Spent Per Interaction</a:t>
            </a:r>
            <a:r>
              <a:rPr lang="en-US" sz="4000" baseline="0"/>
              <a:t> By Device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2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'Av Minutes Spent Per Inter'!$A$4:$A$7</c:f>
              <c:strCache>
                <c:ptCount val="4"/>
                <c:pt idx="0">
                  <c:v>TV</c:v>
                </c:pt>
                <c:pt idx="1">
                  <c:v>PC/Laptop</c:v>
                </c:pt>
                <c:pt idx="2">
                  <c:v>Tablet</c:v>
                </c:pt>
                <c:pt idx="3">
                  <c:v>Smartphone</c:v>
                </c:pt>
              </c:strCache>
            </c:strRef>
          </c:cat>
          <c:val>
            <c:numRef>
              <c:f>'Av Minutes Spent Per Inter'!$B$4:$B$7</c:f>
              <c:numCache>
                <c:formatCode>General</c:formatCode>
                <c:ptCount val="4"/>
                <c:pt idx="0">
                  <c:v>43.0</c:v>
                </c:pt>
                <c:pt idx="1">
                  <c:v>39.0</c:v>
                </c:pt>
                <c:pt idx="2">
                  <c:v>30.0</c:v>
                </c:pt>
                <c:pt idx="3">
                  <c:v>17.0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5088056"/>
        <c:axId val="2095130888"/>
      </c:barChart>
      <c:catAx>
        <c:axId val="2095088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 i="1"/>
                </a:pPr>
                <a:r>
                  <a:rPr lang="en-US" sz="1800" b="0" i="1"/>
                  <a:t>Source: Google, August 2012</a:t>
                </a:r>
              </a:p>
            </c:rich>
          </c:tx>
          <c:layout>
            <c:manualLayout>
              <c:xMode val="edge"/>
              <c:yMode val="edge"/>
              <c:x val="0.00645711360879534"/>
              <c:y val="0.96959619952494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5130888"/>
        <c:crosses val="autoZero"/>
        <c:auto val="1"/>
        <c:lblAlgn val="ctr"/>
        <c:lblOffset val="100"/>
        <c:noMultiLvlLbl val="0"/>
      </c:catAx>
      <c:valAx>
        <c:axId val="2095130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/>
                  <a:t>Minutes</a:t>
                </a:r>
              </a:p>
            </c:rich>
          </c:tx>
          <c:layout>
            <c:manualLayout>
              <c:xMode val="edge"/>
              <c:yMode val="edge"/>
              <c:x val="0.00623330365093499"/>
              <c:y val="0.455385284381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95088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4" Type="http://schemas.openxmlformats.org/officeDocument/2006/relationships/chart" Target="../charts/chart58.xml"/><Relationship Id="rId5" Type="http://schemas.openxmlformats.org/officeDocument/2006/relationships/chart" Target="../charts/chart59.xml"/><Relationship Id="rId6" Type="http://schemas.openxmlformats.org/officeDocument/2006/relationships/chart" Target="../charts/chart60.xml"/><Relationship Id="rId1" Type="http://schemas.openxmlformats.org/officeDocument/2006/relationships/chart" Target="../charts/chart55.xml"/><Relationship Id="rId2" Type="http://schemas.openxmlformats.org/officeDocument/2006/relationships/chart" Target="../charts/chart56.xml"/></Relationships>
</file>

<file path=xl/drawings/_rels/drawing10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10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1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1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1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1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1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1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1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1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1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Relationship Id="rId2" Type="http://schemas.openxmlformats.org/officeDocument/2006/relationships/chart" Target="../charts/chart25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Relationship Id="rId2" Type="http://schemas.openxmlformats.org/officeDocument/2006/relationships/chart" Target="../charts/chart2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4" Type="http://schemas.openxmlformats.org/officeDocument/2006/relationships/chart" Target="../charts/chart32.xml"/><Relationship Id="rId1" Type="http://schemas.openxmlformats.org/officeDocument/2006/relationships/chart" Target="../charts/chart29.xml"/><Relationship Id="rId2" Type="http://schemas.openxmlformats.org/officeDocument/2006/relationships/chart" Target="../charts/chart30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Relationship Id="rId2" Type="http://schemas.openxmlformats.org/officeDocument/2006/relationships/chart" Target="../charts/chart35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Relationship Id="rId2" Type="http://schemas.openxmlformats.org/officeDocument/2006/relationships/chart" Target="../charts/chart52.xml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393700</xdr:colOff>
      <xdr:row>10</xdr:row>
      <xdr:rowOff>12700</xdr:rowOff>
    </xdr:from>
    <xdr:to>
      <xdr:col>16</xdr:col>
      <xdr:colOff>584200</xdr:colOff>
      <xdr:row>66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0.14337</cdr:x>
      <cdr:y>0.32969</cdr:y>
    </cdr:from>
    <cdr:to>
      <cdr:x>0.42832</cdr:x>
      <cdr:y>0.41724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044730" y="3060725"/>
          <a:ext cx="4064000" cy="812800"/>
        </a:xfrm>
        <a:prstGeom xmlns:a="http://schemas.openxmlformats.org/drawingml/2006/main" prst="rect">
          <a:avLst/>
        </a:prstGeom>
      </cdr:spPr>
    </cdr:pic>
  </cdr:relSizeAnchor>
</c:userShapes>
</file>

<file path=xl/drawings/drawing10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20</xdr:row>
      <xdr:rowOff>107950</xdr:rowOff>
    </xdr:from>
    <xdr:to>
      <xdr:col>18</xdr:col>
      <xdr:colOff>254000</xdr:colOff>
      <xdr:row>71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47445</xdr:colOff>
      <xdr:row>109</xdr:row>
      <xdr:rowOff>169426</xdr:rowOff>
    </xdr:from>
    <xdr:to>
      <xdr:col>40</xdr:col>
      <xdr:colOff>203200</xdr:colOff>
      <xdr:row>167</xdr:row>
      <xdr:rowOff>50801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44</xdr:col>
      <xdr:colOff>613833</xdr:colOff>
      <xdr:row>47</xdr:row>
      <xdr:rowOff>16933</xdr:rowOff>
    </xdr:from>
    <xdr:to>
      <xdr:col>62</xdr:col>
      <xdr:colOff>6350</xdr:colOff>
      <xdr:row>97</xdr:row>
      <xdr:rowOff>175682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167</xdr:row>
      <xdr:rowOff>0</xdr:rowOff>
    </xdr:from>
    <xdr:to>
      <xdr:col>25</xdr:col>
      <xdr:colOff>221673</xdr:colOff>
      <xdr:row>217</xdr:row>
      <xdr:rowOff>149513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812800</xdr:colOff>
      <xdr:row>75</xdr:row>
      <xdr:rowOff>63498</xdr:rowOff>
    </xdr:from>
    <xdr:to>
      <xdr:col>18</xdr:col>
      <xdr:colOff>139699</xdr:colOff>
      <xdr:row>132</xdr:row>
      <xdr:rowOff>143933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389465</xdr:colOff>
      <xdr:row>28</xdr:row>
      <xdr:rowOff>93133</xdr:rowOff>
    </xdr:from>
    <xdr:to>
      <xdr:col>38</xdr:col>
      <xdr:colOff>541865</xdr:colOff>
      <xdr:row>85</xdr:row>
      <xdr:rowOff>169333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1.xml><?xml version="1.0" encoding="utf-8"?>
<c:userShapes xmlns:c="http://schemas.openxmlformats.org/drawingml/2006/chart">
  <cdr:relSizeAnchor xmlns:cdr="http://schemas.openxmlformats.org/drawingml/2006/chartDrawing">
    <cdr:from>
      <cdr:x>0</cdr:x>
      <cdr:y>0.9541</cdr:y>
    </cdr:from>
    <cdr:to>
      <cdr:x>0.83587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9239250"/>
          <a:ext cx="11915953" cy="444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200" i="1">
              <a:solidFill>
                <a:srgbClr val="000000"/>
              </a:solidFill>
            </a:rPr>
            <a:t>Source: IAB, U.S.</a:t>
          </a:r>
          <a:r>
            <a:rPr lang="en-US" sz="2200" i="1" baseline="0">
              <a:solidFill>
                <a:srgbClr val="000000"/>
              </a:solidFill>
            </a:rPr>
            <a:t> Census Bureau, Stategy Analytics. BI Intelligence estimates </a:t>
          </a:r>
          <a:endParaRPr lang="en-US" sz="2200" i="1">
            <a:solidFill>
              <a:srgbClr val="000000"/>
            </a:solidFill>
          </a:endParaRPr>
        </a:p>
      </cdr:txBody>
    </cdr:sp>
  </cdr:relSizeAnchor>
  <cdr:relSizeAnchor xmlns:cdr="http://schemas.openxmlformats.org/drawingml/2006/chartDrawing">
    <cdr:from>
      <cdr:x>0.08807</cdr:x>
      <cdr:y>0.10818</cdr:y>
    </cdr:from>
    <cdr:to>
      <cdr:x>0.38206</cdr:x>
      <cdr:y>0.19474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255541" y="1047575"/>
          <a:ext cx="4191000" cy="838200"/>
        </a:xfrm>
        <a:prstGeom xmlns:a="http://schemas.openxmlformats.org/drawingml/2006/main" prst="rect">
          <a:avLst/>
        </a:prstGeom>
      </cdr:spPr>
    </cdr:pic>
  </cdr:relSizeAnchor>
</c:userShapes>
</file>

<file path=xl/drawings/drawing102.xml><?xml version="1.0" encoding="utf-8"?>
<c:userShapes xmlns:c="http://schemas.openxmlformats.org/drawingml/2006/chart">
  <cdr:relSizeAnchor xmlns:cdr="http://schemas.openxmlformats.org/drawingml/2006/chartDrawing">
    <cdr:from>
      <cdr:x>0</cdr:x>
      <cdr:y>0.96398</cdr:y>
    </cdr:from>
    <cdr:to>
      <cdr:x>0.91667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0536673"/>
          <a:ext cx="13006864" cy="3937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000" i="1">
              <a:solidFill>
                <a:srgbClr val="FFFFFF"/>
              </a:solidFill>
            </a:rPr>
            <a:t>Source: IAB, U.S.</a:t>
          </a:r>
          <a:r>
            <a:rPr lang="en-US" sz="2000" i="1" baseline="0">
              <a:solidFill>
                <a:srgbClr val="FFFFFF"/>
              </a:solidFill>
            </a:rPr>
            <a:t> Census Bureau, Stategy Analytics. BI Intelligence estimates </a:t>
          </a:r>
          <a:endParaRPr lang="en-US" sz="2000" i="1">
            <a:solidFill>
              <a:srgbClr val="FFFFFF"/>
            </a:solidFill>
          </a:endParaRPr>
        </a:p>
      </cdr:txBody>
    </cdr:sp>
  </cdr:relSizeAnchor>
  <cdr:relSizeAnchor xmlns:cdr="http://schemas.openxmlformats.org/drawingml/2006/chartDrawing">
    <cdr:from>
      <cdr:x>0.10091</cdr:x>
      <cdr:y>0.11204</cdr:y>
    </cdr:from>
    <cdr:to>
      <cdr:x>0.38732</cdr:x>
      <cdr:y>0.18641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431837" y="1224692"/>
          <a:ext cx="4064000" cy="8128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0.90047</cdr:x>
      <cdr:y>0.84648</cdr:y>
    </cdr:from>
    <cdr:to>
      <cdr:x>0.92961</cdr:x>
      <cdr:y>0.8875</cdr:y>
    </cdr:to>
    <cdr:cxnSp macro="">
      <cdr:nvCxnSpPr>
        <cdr:cNvPr id="4" name="Straight Connector 3"/>
        <cdr:cNvCxnSpPr/>
      </cdr:nvCxnSpPr>
      <cdr:spPr>
        <a:xfrm xmlns:a="http://schemas.openxmlformats.org/drawingml/2006/main">
          <a:off x="6672300" y="3930864"/>
          <a:ext cx="215922" cy="19048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FFFF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0.75626</cdr:x>
      <cdr:y>0.78047</cdr:y>
    </cdr:from>
    <cdr:to>
      <cdr:x>0.7854</cdr:x>
      <cdr:y>0.82149</cdr:y>
    </cdr:to>
    <cdr:cxnSp macro="">
      <cdr:nvCxnSpPr>
        <cdr:cNvPr id="6" name="Straight Connector 5"/>
        <cdr:cNvCxnSpPr/>
      </cdr:nvCxnSpPr>
      <cdr:spPr>
        <a:xfrm xmlns:a="http://schemas.openxmlformats.org/drawingml/2006/main">
          <a:off x="5603766" y="3624318"/>
          <a:ext cx="215882" cy="19050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FFFF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03.xml><?xml version="1.0" encoding="utf-8"?>
<c:userShapes xmlns:c="http://schemas.openxmlformats.org/drawingml/2006/chart">
  <cdr:relSizeAnchor xmlns:cdr="http://schemas.openxmlformats.org/drawingml/2006/chartDrawing">
    <cdr:from>
      <cdr:x>0.06651</cdr:x>
      <cdr:y>0.95738</cdr:y>
    </cdr:from>
    <cdr:to>
      <cdr:x>0.87934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48168" y="9271000"/>
          <a:ext cx="11587501" cy="412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000" i="1">
              <a:solidFill>
                <a:srgbClr val="000000"/>
              </a:solidFill>
            </a:rPr>
            <a:t>Source: IAB</a:t>
          </a:r>
        </a:p>
      </cdr:txBody>
    </cdr:sp>
  </cdr:relSizeAnchor>
  <cdr:relSizeAnchor xmlns:cdr="http://schemas.openxmlformats.org/drawingml/2006/chartDrawing">
    <cdr:from>
      <cdr:x>0.08246</cdr:x>
      <cdr:y>0.18142</cdr:y>
    </cdr:from>
    <cdr:to>
      <cdr:x>0.38703</cdr:x>
      <cdr:y>0.27786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175549" y="1756861"/>
          <a:ext cx="4341872" cy="933902"/>
        </a:xfrm>
        <a:prstGeom xmlns:a="http://schemas.openxmlformats.org/drawingml/2006/main" prst="rect">
          <a:avLst/>
        </a:prstGeom>
      </cdr:spPr>
    </cdr:pic>
  </cdr:relSizeAnchor>
</c:userShapes>
</file>

<file path=xl/drawings/drawing104.xml><?xml version="1.0" encoding="utf-8"?>
<c:userShapes xmlns:c="http://schemas.openxmlformats.org/drawingml/2006/chart">
  <cdr:relSizeAnchor xmlns:cdr="http://schemas.openxmlformats.org/drawingml/2006/chartDrawing">
    <cdr:from>
      <cdr:x>0.07542</cdr:x>
      <cdr:y>0.95405</cdr:y>
    </cdr:from>
    <cdr:to>
      <cdr:x>0.88825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75125" y="9230013"/>
          <a:ext cx="11587032" cy="4444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000" i="1">
              <a:solidFill>
                <a:srgbClr val="FFFFFF"/>
              </a:solidFill>
            </a:rPr>
            <a:t>Source: IAB</a:t>
          </a:r>
        </a:p>
      </cdr:txBody>
    </cdr:sp>
  </cdr:relSizeAnchor>
  <cdr:relSizeAnchor xmlns:cdr="http://schemas.openxmlformats.org/drawingml/2006/chartDrawing">
    <cdr:from>
      <cdr:x>0.09137</cdr:x>
      <cdr:y>0.12909</cdr:y>
    </cdr:from>
    <cdr:to>
      <cdr:x>0.38537</cdr:x>
      <cdr:y>0.21573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02495" y="1248883"/>
          <a:ext cx="4191000" cy="838200"/>
        </a:xfrm>
        <a:prstGeom xmlns:a="http://schemas.openxmlformats.org/drawingml/2006/main" prst="rect">
          <a:avLst/>
        </a:prstGeom>
      </cdr:spPr>
    </cdr:pic>
  </cdr:relSizeAnchor>
</c:userShapes>
</file>

<file path=xl/drawings/drawing105.xml><?xml version="1.0" encoding="utf-8"?>
<c:userShapes xmlns:c="http://schemas.openxmlformats.org/drawingml/2006/chart">
  <cdr:relSizeAnchor xmlns:cdr="http://schemas.openxmlformats.org/drawingml/2006/chartDrawing">
    <cdr:from>
      <cdr:x>0.09874</cdr:x>
      <cdr:y>0.09808</cdr:y>
    </cdr:from>
    <cdr:to>
      <cdr:x>0.39426</cdr:x>
      <cdr:y>0.17472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400704" y="1072881"/>
          <a:ext cx="4192217" cy="838360"/>
        </a:xfrm>
        <a:prstGeom xmlns:a="http://schemas.openxmlformats.org/drawingml/2006/main" prst="rect">
          <a:avLst/>
        </a:prstGeom>
      </cdr:spPr>
    </cdr:pic>
  </cdr:relSizeAnchor>
</c:userShapes>
</file>

<file path=xl/drawings/drawing106.xml><?xml version="1.0" encoding="utf-8"?>
<c:userShapes xmlns:c="http://schemas.openxmlformats.org/drawingml/2006/chart">
  <cdr:relSizeAnchor xmlns:cdr="http://schemas.openxmlformats.org/drawingml/2006/chartDrawing">
    <cdr:from>
      <cdr:x>0.39192</cdr:x>
      <cdr:y>0.75218</cdr:y>
    </cdr:from>
    <cdr:to>
      <cdr:x>0.65914</cdr:x>
      <cdr:y>0.82344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588001" y="8043333"/>
          <a:ext cx="38100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10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2</xdr:row>
      <xdr:rowOff>165100</xdr:rowOff>
    </xdr:from>
    <xdr:to>
      <xdr:col>22</xdr:col>
      <xdr:colOff>91440</xdr:colOff>
      <xdr:row>59</xdr:row>
      <xdr:rowOff>5080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8.xml><?xml version="1.0" encoding="utf-8"?>
<c:userShapes xmlns:c="http://schemas.openxmlformats.org/drawingml/2006/chart">
  <cdr:relSizeAnchor xmlns:cdr="http://schemas.openxmlformats.org/drawingml/2006/chartDrawing">
    <cdr:from>
      <cdr:x>0.42735</cdr:x>
      <cdr:y>0.68495</cdr:y>
    </cdr:from>
    <cdr:to>
      <cdr:x>0.65883</cdr:x>
      <cdr:y>0.74668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096000" y="7327900"/>
          <a:ext cx="3302000" cy="660400"/>
        </a:xfrm>
        <a:prstGeom xmlns:a="http://schemas.openxmlformats.org/drawingml/2006/main" prst="rect">
          <a:avLst/>
        </a:prstGeom>
      </cdr:spPr>
    </cdr:pic>
  </cdr:relSizeAnchor>
</c:userShapes>
</file>

<file path=xl/drawings/drawing10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694592</xdr:colOff>
      <xdr:row>17</xdr:row>
      <xdr:rowOff>63989</xdr:rowOff>
    </xdr:from>
    <xdr:to>
      <xdr:col>17</xdr:col>
      <xdr:colOff>596900</xdr:colOff>
      <xdr:row>73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</xdr:colOff>
      <xdr:row>13</xdr:row>
      <xdr:rowOff>135164</xdr:rowOff>
    </xdr:from>
    <xdr:to>
      <xdr:col>23</xdr:col>
      <xdr:colOff>242454</xdr:colOff>
      <xdr:row>66</xdr:row>
      <xdr:rowOff>29689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0.xml><?xml version="1.0" encoding="utf-8"?>
<c:userShapes xmlns:c="http://schemas.openxmlformats.org/drawingml/2006/chart">
  <cdr:relSizeAnchor xmlns:cdr="http://schemas.openxmlformats.org/drawingml/2006/chartDrawing">
    <cdr:from>
      <cdr:x>0.61624</cdr:x>
      <cdr:y>0.22094</cdr:y>
    </cdr:from>
    <cdr:to>
      <cdr:x>0.91722</cdr:x>
      <cdr:y>0.31425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783499" y="2362441"/>
          <a:ext cx="4289960" cy="99775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0.96674</cdr:y>
    </cdr:from>
    <cdr:to>
      <cdr:x>0.50866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0337311"/>
          <a:ext cx="7250088" cy="355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 i="1">
              <a:solidFill>
                <a:srgbClr val="000000"/>
              </a:solidFill>
            </a:rPr>
            <a:t>Source: comScore, Vivaki,</a:t>
          </a:r>
          <a:r>
            <a:rPr lang="en-US" sz="1800" i="1" baseline="0">
              <a:solidFill>
                <a:srgbClr val="000000"/>
              </a:solidFill>
            </a:rPr>
            <a:t> Mobclix Exchange</a:t>
          </a:r>
          <a:endParaRPr lang="en-US" sz="1800" i="1">
            <a:solidFill>
              <a:srgbClr val="000000"/>
            </a:solidFill>
          </a:endParaRPr>
        </a:p>
      </cdr:txBody>
    </cdr:sp>
  </cdr:relSizeAnchor>
</c:userShapes>
</file>

<file path=xl/drawings/drawing1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350157</xdr:colOff>
      <xdr:row>22</xdr:row>
      <xdr:rowOff>121558</xdr:rowOff>
    </xdr:from>
    <xdr:to>
      <xdr:col>17</xdr:col>
      <xdr:colOff>654049</xdr:colOff>
      <xdr:row>76</xdr:row>
      <xdr:rowOff>44450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2.xml><?xml version="1.0" encoding="utf-8"?>
<c:userShapes xmlns:c="http://schemas.openxmlformats.org/drawingml/2006/chart">
  <cdr:relSizeAnchor xmlns:cdr="http://schemas.openxmlformats.org/drawingml/2006/chartDrawing">
    <cdr:from>
      <cdr:x>0.12134</cdr:x>
      <cdr:y>0.18493</cdr:y>
    </cdr:from>
    <cdr:to>
      <cdr:x>0.41533</cdr:x>
      <cdr:y>0.26327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729841" y="1978757"/>
          <a:ext cx="4191000" cy="838200"/>
        </a:xfrm>
        <a:prstGeom xmlns:a="http://schemas.openxmlformats.org/drawingml/2006/main" prst="rect">
          <a:avLst/>
        </a:prstGeom>
      </cdr:spPr>
    </cdr:pic>
  </cdr:relSizeAnchor>
</c:userShapes>
</file>

<file path=xl/drawings/drawing1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18</xdr:row>
      <xdr:rowOff>25400</xdr:rowOff>
    </xdr:from>
    <xdr:to>
      <xdr:col>18</xdr:col>
      <xdr:colOff>533400</xdr:colOff>
      <xdr:row>74</xdr:row>
      <xdr:rowOff>50800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4.xml><?xml version="1.0" encoding="utf-8"?>
<c:userShapes xmlns:c="http://schemas.openxmlformats.org/drawingml/2006/chart">
  <cdr:relSizeAnchor xmlns:cdr="http://schemas.openxmlformats.org/drawingml/2006/chartDrawing">
    <cdr:from>
      <cdr:x>0.14159</cdr:x>
      <cdr:y>0.23515</cdr:y>
    </cdr:from>
    <cdr:to>
      <cdr:x>0.41937</cdr:x>
      <cdr:y>0.31353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136253" y="2514553"/>
          <a:ext cx="4191000" cy="838200"/>
        </a:xfrm>
        <a:prstGeom xmlns:a="http://schemas.openxmlformats.org/drawingml/2006/main" prst="rect">
          <a:avLst/>
        </a:prstGeom>
      </cdr:spPr>
    </cdr:pic>
  </cdr:relSizeAnchor>
</c:userShapes>
</file>

<file path=xl/drawings/drawing1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65</xdr:row>
      <xdr:rowOff>63500</xdr:rowOff>
    </xdr:from>
    <xdr:to>
      <xdr:col>17</xdr:col>
      <xdr:colOff>419100</xdr:colOff>
      <xdr:row>130</xdr:row>
      <xdr:rowOff>25400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6.xml><?xml version="1.0" encoding="utf-8"?>
<c:userShapes xmlns:c="http://schemas.openxmlformats.org/drawingml/2006/chart">
  <cdr:relSizeAnchor xmlns:cdr="http://schemas.openxmlformats.org/drawingml/2006/chartDrawing">
    <cdr:from>
      <cdr:x>0.10953</cdr:x>
      <cdr:y>0.23872</cdr:y>
    </cdr:from>
    <cdr:to>
      <cdr:x>0.36006</cdr:x>
      <cdr:y>0.30635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562108" y="2552708"/>
          <a:ext cx="3573145" cy="723265"/>
        </a:xfrm>
        <a:prstGeom xmlns:a="http://schemas.openxmlformats.org/drawingml/2006/main" prst="rect">
          <a:avLst/>
        </a:prstGeom>
      </cdr:spPr>
    </cdr:pic>
  </cdr:relSizeAnchor>
</c:userShapes>
</file>

<file path=xl/drawings/drawing1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14</xdr:row>
      <xdr:rowOff>50800</xdr:rowOff>
    </xdr:from>
    <xdr:to>
      <xdr:col>17</xdr:col>
      <xdr:colOff>304800</xdr:colOff>
      <xdr:row>70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8.xml><?xml version="1.0" encoding="utf-8"?>
<c:userShapes xmlns:c="http://schemas.openxmlformats.org/drawingml/2006/chart">
  <cdr:relSizeAnchor xmlns:cdr="http://schemas.openxmlformats.org/drawingml/2006/chartDrawing">
    <cdr:from>
      <cdr:x>0.6732</cdr:x>
      <cdr:y>0.50475</cdr:y>
    </cdr:from>
    <cdr:to>
      <cdr:x>0.94123</cdr:x>
      <cdr:y>0.57601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9601200" y="5397500"/>
          <a:ext cx="3822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1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622300</xdr:colOff>
      <xdr:row>17</xdr:row>
      <xdr:rowOff>88900</xdr:rowOff>
    </xdr:from>
    <xdr:to>
      <xdr:col>22</xdr:col>
      <xdr:colOff>25400</xdr:colOff>
      <xdr:row>73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0.71352</cdr:x>
      <cdr:y>0.37268</cdr:y>
    </cdr:from>
    <cdr:to>
      <cdr:x>0.78057</cdr:x>
      <cdr:y>0.46061</cdr:y>
    </cdr:to>
    <cdr:cxnSp macro="">
      <cdr:nvCxnSpPr>
        <cdr:cNvPr id="2" name="Straight Connector 1"/>
        <cdr:cNvCxnSpPr/>
      </cdr:nvCxnSpPr>
      <cdr:spPr>
        <a:xfrm xmlns:a="http://schemas.openxmlformats.org/drawingml/2006/main">
          <a:off x="10059378" y="3797260"/>
          <a:ext cx="945162" cy="89588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0.82122</cdr:x>
      <cdr:y>0.24368</cdr:y>
    </cdr:from>
    <cdr:to>
      <cdr:x>0.87179</cdr:x>
      <cdr:y>0.30735</cdr:y>
    </cdr:to>
    <cdr:cxnSp macro="">
      <cdr:nvCxnSpPr>
        <cdr:cNvPr id="6" name="Straight Connector 5"/>
        <cdr:cNvCxnSpPr/>
      </cdr:nvCxnSpPr>
      <cdr:spPr>
        <a:xfrm xmlns:a="http://schemas.openxmlformats.org/drawingml/2006/main">
          <a:off x="11577756" y="2482813"/>
          <a:ext cx="712892" cy="64874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0.13078</cdr:x>
      <cdr:y>0.1091</cdr:y>
    </cdr:from>
    <cdr:to>
      <cdr:x>0.40103</cdr:x>
      <cdr:y>0.18388</cdr:y>
    </cdr:to>
    <cdr:pic>
      <cdr:nvPicPr>
        <cdr:cNvPr id="8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43742" y="1111623"/>
          <a:ext cx="3810109" cy="761966"/>
        </a:xfrm>
        <a:prstGeom xmlns:a="http://schemas.openxmlformats.org/drawingml/2006/main" prst="rect">
          <a:avLst/>
        </a:prstGeom>
      </cdr:spPr>
    </cdr:pic>
  </cdr:relSizeAnchor>
</c:userShapes>
</file>

<file path=xl/drawings/drawing120.xml><?xml version="1.0" encoding="utf-8"?>
<c:userShapes xmlns:c="http://schemas.openxmlformats.org/drawingml/2006/chart">
  <cdr:relSizeAnchor xmlns:cdr="http://schemas.openxmlformats.org/drawingml/2006/chartDrawing">
    <cdr:from>
      <cdr:x>0.61227</cdr:x>
      <cdr:y>0.23214</cdr:y>
    </cdr:from>
    <cdr:to>
      <cdr:x>0.8616</cdr:x>
      <cdr:y>0.29857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732217" y="2485344"/>
          <a:ext cx="3556000" cy="711200"/>
        </a:xfrm>
        <a:prstGeom xmlns:a="http://schemas.openxmlformats.org/drawingml/2006/main" prst="rect">
          <a:avLst/>
        </a:prstGeom>
      </cdr:spPr>
    </cdr:pic>
  </cdr:relSizeAnchor>
</c:userShapes>
</file>

<file path=xl/drawings/drawing1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10</xdr:row>
      <xdr:rowOff>88900</xdr:rowOff>
    </xdr:from>
    <xdr:to>
      <xdr:col>17</xdr:col>
      <xdr:colOff>431800</xdr:colOff>
      <xdr:row>66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2.xml><?xml version="1.0" encoding="utf-8"?>
<c:userShapes xmlns:c="http://schemas.openxmlformats.org/drawingml/2006/chart">
  <cdr:relSizeAnchor xmlns:cdr="http://schemas.openxmlformats.org/drawingml/2006/chartDrawing">
    <cdr:from>
      <cdr:x>0.11937</cdr:x>
      <cdr:y>0.20904</cdr:y>
    </cdr:from>
    <cdr:to>
      <cdr:x>0.4023</cdr:x>
      <cdr:y>0.28505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702474" y="2237964"/>
          <a:ext cx="4035176" cy="81377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0.89569</cdr:x>
      <cdr:y>0.87173</cdr:y>
    </cdr:from>
    <cdr:to>
      <cdr:x>0.91072</cdr:x>
      <cdr:y>0.89667</cdr:y>
    </cdr:to>
    <cdr:cxnSp macro="">
      <cdr:nvCxnSpPr>
        <cdr:cNvPr id="4" name="Straight Connector 3"/>
        <cdr:cNvCxnSpPr/>
      </cdr:nvCxnSpPr>
      <cdr:spPr>
        <a:xfrm xmlns:a="http://schemas.openxmlformats.org/drawingml/2006/main">
          <a:off x="12774358" y="9332812"/>
          <a:ext cx="214359" cy="26701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0000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15</xdr:row>
      <xdr:rowOff>152400</xdr:rowOff>
    </xdr:from>
    <xdr:to>
      <xdr:col>17</xdr:col>
      <xdr:colOff>571500</xdr:colOff>
      <xdr:row>71</xdr:row>
      <xdr:rowOff>177800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4.xml><?xml version="1.0" encoding="utf-8"?>
<c:userShapes xmlns:c="http://schemas.openxmlformats.org/drawingml/2006/chart">
  <cdr:relSizeAnchor xmlns:cdr="http://schemas.openxmlformats.org/drawingml/2006/chartDrawing">
    <cdr:from>
      <cdr:x>0.9065</cdr:x>
      <cdr:y>0.34204</cdr:y>
    </cdr:from>
    <cdr:to>
      <cdr:x>0.96527</cdr:x>
      <cdr:y>0.73397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11252202" y="5334000"/>
          <a:ext cx="4190999" cy="838200"/>
        </a:xfrm>
        <a:prstGeom xmlns:a="http://schemas.openxmlformats.org/drawingml/2006/main" prst="rect">
          <a:avLst/>
        </a:prstGeom>
      </cdr:spPr>
    </cdr:pic>
  </cdr:relSizeAnchor>
</c:userShapes>
</file>

<file path=xl/drawings/drawing1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11</xdr:row>
      <xdr:rowOff>63500</xdr:rowOff>
    </xdr:from>
    <xdr:to>
      <xdr:col>17</xdr:col>
      <xdr:colOff>279400</xdr:colOff>
      <xdr:row>67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6.xml><?xml version="1.0" encoding="utf-8"?>
<c:userShapes xmlns:c="http://schemas.openxmlformats.org/drawingml/2006/chart">
  <cdr:relSizeAnchor xmlns:cdr="http://schemas.openxmlformats.org/drawingml/2006/chartDrawing">
    <cdr:from>
      <cdr:x>0</cdr:x>
      <cdr:y>0.96793</cdr:y>
    </cdr:from>
    <cdr:to>
      <cdr:x>0.43811</cdr:x>
      <cdr:y>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0" y="10350500"/>
          <a:ext cx="6248400" cy="342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800" i="1">
              <a:solidFill>
                <a:srgbClr val="000000"/>
              </a:solidFill>
            </a:rPr>
            <a:t>Source: YouGov,</a:t>
          </a:r>
          <a:r>
            <a:rPr lang="en-US" sz="1800" i="1" baseline="0">
              <a:solidFill>
                <a:srgbClr val="000000"/>
              </a:solidFill>
            </a:rPr>
            <a:t> May 2013 *n = 1,000 smartphone owners in U.S.</a:t>
          </a:r>
          <a:endParaRPr lang="en-US" sz="1800" i="1">
            <a:solidFill>
              <a:srgbClr val="000000"/>
            </a:solidFill>
          </a:endParaRPr>
        </a:p>
      </cdr:txBody>
    </cdr:sp>
  </cdr:relSizeAnchor>
  <cdr:relSizeAnchor xmlns:cdr="http://schemas.openxmlformats.org/drawingml/2006/chartDrawing">
    <cdr:from>
      <cdr:x>0.73375</cdr:x>
      <cdr:y>0.16033</cdr:y>
    </cdr:from>
    <cdr:to>
      <cdr:x>0.98308</cdr:x>
      <cdr:y>0.22684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464749" y="1714460"/>
          <a:ext cx="3555969" cy="711218"/>
        </a:xfrm>
        <a:prstGeom xmlns:a="http://schemas.openxmlformats.org/drawingml/2006/main" prst="rect">
          <a:avLst/>
        </a:prstGeom>
      </cdr:spPr>
    </cdr:pic>
  </cdr:relSizeAnchor>
</c:userShapes>
</file>

<file path=xl/drawings/drawing1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13</xdr:row>
      <xdr:rowOff>152400</xdr:rowOff>
    </xdr:from>
    <xdr:to>
      <xdr:col>17</xdr:col>
      <xdr:colOff>482600</xdr:colOff>
      <xdr:row>69</xdr:row>
      <xdr:rowOff>177800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56</xdr:row>
      <xdr:rowOff>114300</xdr:rowOff>
    </xdr:from>
    <xdr:to>
      <xdr:col>10</xdr:col>
      <xdr:colOff>215900</xdr:colOff>
      <xdr:row>63</xdr:row>
      <xdr:rowOff>101600</xdr:rowOff>
    </xdr:to>
    <xdr:sp macro="" textlink="">
      <xdr:nvSpPr>
        <xdr:cNvPr id="3" name="TextBox 2"/>
        <xdr:cNvSpPr txBox="1"/>
      </xdr:nvSpPr>
      <xdr:spPr>
        <a:xfrm>
          <a:off x="6616700" y="10782300"/>
          <a:ext cx="1854200" cy="13208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000000"/>
              </a:solidFill>
            </a:rPr>
            <a:t>Working</a:t>
          </a:r>
        </a:p>
        <a:p>
          <a:pPr algn="ctr"/>
          <a:r>
            <a:rPr lang="en-US" sz="2000">
              <a:solidFill>
                <a:srgbClr val="000000"/>
              </a:solidFill>
            </a:rPr>
            <a:t>8.8 hours</a:t>
          </a:r>
        </a:p>
      </xdr:txBody>
    </xdr:sp>
    <xdr:clientData/>
  </xdr:twoCellAnchor>
</xdr:wsDr>
</file>

<file path=xl/drawings/drawing128.xml><?xml version="1.0" encoding="utf-8"?>
<c:userShapes xmlns:c="http://schemas.openxmlformats.org/drawingml/2006/chart">
  <cdr:relSizeAnchor xmlns:cdr="http://schemas.openxmlformats.org/drawingml/2006/chartDrawing">
    <cdr:from>
      <cdr:x>0.03206</cdr:x>
      <cdr:y>0.84561</cdr:y>
    </cdr:from>
    <cdr:to>
      <cdr:x>0.33483</cdr:x>
      <cdr:y>0.92637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57200" y="9042400"/>
          <a:ext cx="4318136" cy="863621"/>
        </a:xfrm>
        <a:prstGeom xmlns:a="http://schemas.openxmlformats.org/drawingml/2006/main" prst="rect">
          <a:avLst/>
        </a:prstGeom>
      </cdr:spPr>
    </cdr:pic>
  </cdr:relSizeAnchor>
</c:userShapes>
</file>

<file path=xl/drawings/drawing1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781956</xdr:colOff>
      <xdr:row>18</xdr:row>
      <xdr:rowOff>107950</xdr:rowOff>
    </xdr:from>
    <xdr:to>
      <xdr:col>18</xdr:col>
      <xdr:colOff>18142</xdr:colOff>
      <xdr:row>72</xdr:row>
      <xdr:rowOff>36286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</xdr:colOff>
      <xdr:row>14</xdr:row>
      <xdr:rowOff>133351</xdr:rowOff>
    </xdr:from>
    <xdr:to>
      <xdr:col>25</xdr:col>
      <xdr:colOff>136878</xdr:colOff>
      <xdr:row>68</xdr:row>
      <xdr:rowOff>170745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0.xml><?xml version="1.0" encoding="utf-8"?>
<c:userShapes xmlns:c="http://schemas.openxmlformats.org/drawingml/2006/chart">
  <cdr:relSizeAnchor xmlns:cdr="http://schemas.openxmlformats.org/drawingml/2006/chartDrawing">
    <cdr:from>
      <cdr:x>0.12729</cdr:x>
      <cdr:y>0.11949</cdr:y>
    </cdr:from>
    <cdr:to>
      <cdr:x>0.43903</cdr:x>
      <cdr:y>0.20254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14992" y="1279113"/>
          <a:ext cx="4444936" cy="889067"/>
        </a:xfrm>
        <a:prstGeom xmlns:a="http://schemas.openxmlformats.org/drawingml/2006/main" prst="rect">
          <a:avLst/>
        </a:prstGeom>
      </cdr:spPr>
    </cdr:pic>
  </cdr:relSizeAnchor>
</c:userShapes>
</file>

<file path=xl/drawings/drawing1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634999</xdr:colOff>
      <xdr:row>10</xdr:row>
      <xdr:rowOff>3627</xdr:rowOff>
    </xdr:from>
    <xdr:to>
      <xdr:col>21</xdr:col>
      <xdr:colOff>707570</xdr:colOff>
      <xdr:row>63</xdr:row>
      <xdr:rowOff>126999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2.xml><?xml version="1.0" encoding="utf-8"?>
<c:userShapes xmlns:c="http://schemas.openxmlformats.org/drawingml/2006/chart">
  <cdr:relSizeAnchor xmlns:cdr="http://schemas.openxmlformats.org/drawingml/2006/chartDrawing">
    <cdr:from>
      <cdr:x>0.13079</cdr:x>
      <cdr:y>0.18616</cdr:y>
    </cdr:from>
    <cdr:to>
      <cdr:x>0.4336</cdr:x>
      <cdr:y>0.26687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65086" y="1992086"/>
          <a:ext cx="4318136" cy="863599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0.10039</cdr:x>
      <cdr:y>0.09948</cdr:y>
    </cdr:from>
    <cdr:to>
      <cdr:x>0.38457</cdr:x>
      <cdr:y>0.17803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435641" y="1029368"/>
          <a:ext cx="4064000" cy="8128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0.44449</cdr:x>
      <cdr:y>0.13971</cdr:y>
    </cdr:from>
    <cdr:to>
      <cdr:x>0.47194</cdr:x>
      <cdr:y>0.19416</cdr:y>
    </cdr:to>
    <cdr:cxnSp macro="">
      <cdr:nvCxnSpPr>
        <cdr:cNvPr id="4" name="Straight Connector 3"/>
        <cdr:cNvCxnSpPr/>
      </cdr:nvCxnSpPr>
      <cdr:spPr>
        <a:xfrm xmlns:a="http://schemas.openxmlformats.org/drawingml/2006/main">
          <a:off x="6295719" y="1442401"/>
          <a:ext cx="388802" cy="562163"/>
        </a:xfrm>
        <a:prstGeom xmlns:a="http://schemas.openxmlformats.org/drawingml/2006/main" prst="line">
          <a:avLst/>
        </a:prstGeom>
        <a:ln xmlns:a="http://schemas.openxmlformats.org/drawingml/2006/main" w="12700" cmpd="sng">
          <a:solidFill>
            <a:srgbClr val="000000"/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0.37699</cdr:x>
      <cdr:y>0.10533</cdr:y>
    </cdr:from>
    <cdr:to>
      <cdr:x>0.49763</cdr:x>
      <cdr:y>0.14709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339745" y="1087454"/>
          <a:ext cx="1708748" cy="43114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000" i="0">
              <a:solidFill>
                <a:srgbClr val="000000"/>
              </a:solidFill>
            </a:rPr>
            <a:t>iPad</a:t>
          </a:r>
          <a:r>
            <a:rPr lang="en-US" sz="2000" i="0" baseline="0">
              <a:solidFill>
                <a:srgbClr val="000000"/>
              </a:solidFill>
            </a:rPr>
            <a:t> released</a:t>
          </a:r>
          <a:endParaRPr lang="en-US" sz="2000" i="0">
            <a:solidFill>
              <a:srgbClr val="000000"/>
            </a:solidFill>
          </a:endParaRPr>
        </a:p>
      </cdr:txBody>
    </cdr:sp>
  </cdr:relSizeAnchor>
  <cdr:relSizeAnchor xmlns:cdr="http://schemas.openxmlformats.org/drawingml/2006/chartDrawing">
    <cdr:from>
      <cdr:x>0.69841</cdr:x>
      <cdr:y>0.10165</cdr:y>
    </cdr:from>
    <cdr:to>
      <cdr:x>0.86559</cdr:x>
      <cdr:y>0.14638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976033" y="1088230"/>
          <a:ext cx="2387994" cy="47885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000" i="0">
              <a:solidFill>
                <a:srgbClr val="000000"/>
              </a:solidFill>
            </a:rPr>
            <a:t>Windows</a:t>
          </a:r>
          <a:r>
            <a:rPr lang="en-US" sz="2000" i="0" baseline="0">
              <a:solidFill>
                <a:srgbClr val="000000"/>
              </a:solidFill>
            </a:rPr>
            <a:t> 8 released</a:t>
          </a:r>
          <a:endParaRPr lang="en-US" sz="2000" i="0">
            <a:solidFill>
              <a:srgbClr val="000000"/>
            </a:solidFill>
          </a:endParaRPr>
        </a:p>
      </cdr:txBody>
    </cdr:sp>
  </cdr:relSizeAnchor>
  <cdr:relSizeAnchor xmlns:cdr="http://schemas.openxmlformats.org/drawingml/2006/chartDrawing">
    <cdr:from>
      <cdr:x>0.7908</cdr:x>
      <cdr:y>0.13513</cdr:y>
    </cdr:from>
    <cdr:to>
      <cdr:x>0.81278</cdr:x>
      <cdr:y>0.17662</cdr:y>
    </cdr:to>
    <cdr:cxnSp macro="">
      <cdr:nvCxnSpPr>
        <cdr:cNvPr id="7" name="Straight Connector 6"/>
        <cdr:cNvCxnSpPr/>
      </cdr:nvCxnSpPr>
      <cdr:spPr>
        <a:xfrm xmlns:a="http://schemas.openxmlformats.org/drawingml/2006/main">
          <a:off x="11200881" y="1395137"/>
          <a:ext cx="311325" cy="428359"/>
        </a:xfrm>
        <a:prstGeom xmlns:a="http://schemas.openxmlformats.org/drawingml/2006/main" prst="line">
          <a:avLst/>
        </a:prstGeom>
        <a:ln xmlns:a="http://schemas.openxmlformats.org/drawingml/2006/main" w="12700" cmpd="sng">
          <a:solidFill>
            <a:srgbClr val="000000"/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11</xdr:row>
      <xdr:rowOff>139700</xdr:rowOff>
    </xdr:from>
    <xdr:to>
      <xdr:col>17</xdr:col>
      <xdr:colOff>431800</xdr:colOff>
      <xdr:row>67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0.96258</cdr:y>
    </cdr:from>
    <cdr:to>
      <cdr:x>0.35923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0431790"/>
          <a:ext cx="5123418" cy="40011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000" i="1">
              <a:solidFill>
                <a:srgbClr val="000000"/>
              </a:solidFill>
            </a:rPr>
            <a:t>Source: Experian Marketing Services, May 2013</a:t>
          </a:r>
        </a:p>
      </cdr:txBody>
    </cdr:sp>
  </cdr:relSizeAnchor>
  <cdr:relSizeAnchor xmlns:cdr="http://schemas.openxmlformats.org/drawingml/2006/chartDrawing">
    <cdr:from>
      <cdr:x>0.92164</cdr:x>
      <cdr:y>0.45249</cdr:y>
    </cdr:from>
    <cdr:to>
      <cdr:x>0.98397</cdr:x>
      <cdr:y>0.86817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11366500" y="6616700"/>
          <a:ext cx="4445000" cy="889000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12</xdr:row>
      <xdr:rowOff>38100</xdr:rowOff>
    </xdr:from>
    <xdr:to>
      <xdr:col>17</xdr:col>
      <xdr:colOff>292100</xdr:colOff>
      <xdr:row>68</xdr:row>
      <xdr:rowOff>63500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0.67676</cdr:x>
      <cdr:y>0.17102</cdr:y>
    </cdr:from>
    <cdr:to>
      <cdr:x>0.92609</cdr:x>
      <cdr:y>0.23753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9652000" y="1828800"/>
          <a:ext cx="3555969" cy="711218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196850</xdr:colOff>
      <xdr:row>21</xdr:row>
      <xdr:rowOff>44450</xdr:rowOff>
    </xdr:from>
    <xdr:to>
      <xdr:col>17</xdr:col>
      <xdr:colOff>431800</xdr:colOff>
      <xdr:row>77</xdr:row>
      <xdr:rowOff>63500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0.18528</cdr:x>
      <cdr:y>0.1924</cdr:y>
    </cdr:from>
    <cdr:to>
      <cdr:x>0.49694</cdr:x>
      <cdr:y>0.27554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642475" y="2057410"/>
          <a:ext cx="4445000" cy="8890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0.81631</cdr:x>
      <cdr:y>0.46081</cdr:y>
    </cdr:from>
    <cdr:to>
      <cdr:x>0.85914</cdr:x>
      <cdr:y>0.48575</cdr:y>
    </cdr:to>
    <cdr:cxnSp macro="">
      <cdr:nvCxnSpPr>
        <cdr:cNvPr id="4" name="Straight Connector 3"/>
        <cdr:cNvCxnSpPr/>
      </cdr:nvCxnSpPr>
      <cdr:spPr>
        <a:xfrm xmlns:a="http://schemas.openxmlformats.org/drawingml/2006/main">
          <a:off x="12585700" y="4927600"/>
          <a:ext cx="660400" cy="2667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D0D0D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0.84596</cdr:x>
      <cdr:y>0.40261</cdr:y>
    </cdr:from>
    <cdr:to>
      <cdr:x>0.87891</cdr:x>
      <cdr:y>0.41924</cdr:y>
    </cdr:to>
    <cdr:cxnSp macro="">
      <cdr:nvCxnSpPr>
        <cdr:cNvPr id="6" name="Straight Connector 5"/>
        <cdr:cNvCxnSpPr/>
      </cdr:nvCxnSpPr>
      <cdr:spPr>
        <a:xfrm xmlns:a="http://schemas.openxmlformats.org/drawingml/2006/main">
          <a:off x="13042900" y="4305300"/>
          <a:ext cx="508000" cy="1778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D0D0D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0.87677</cdr:x>
      <cdr:y>0.34323</cdr:y>
    </cdr:from>
    <cdr:to>
      <cdr:x>0.90725</cdr:x>
      <cdr:y>0.35273</cdr:y>
    </cdr:to>
    <cdr:cxnSp macro="">
      <cdr:nvCxnSpPr>
        <cdr:cNvPr id="8" name="Straight Connector 7"/>
        <cdr:cNvCxnSpPr/>
      </cdr:nvCxnSpPr>
      <cdr:spPr>
        <a:xfrm xmlns:a="http://schemas.openxmlformats.org/drawingml/2006/main">
          <a:off x="12504615" y="3670271"/>
          <a:ext cx="434709" cy="10158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D0D0D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0.59679</cdr:x>
      <cdr:y>0.20529</cdr:y>
    </cdr:from>
    <cdr:to>
      <cdr:x>0.90832</cdr:x>
      <cdr:y>0.28847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515332" y="2193942"/>
          <a:ext cx="4445050" cy="888948"/>
        </a:xfrm>
        <a:prstGeom xmlns:a="http://schemas.openxmlformats.org/drawingml/2006/main" prst="rect">
          <a:avLst/>
        </a:prstGeom>
      </cdr:spPr>
    </cdr:pic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596900</xdr:colOff>
      <xdr:row>14</xdr:row>
      <xdr:rowOff>50800</xdr:rowOff>
    </xdr:from>
    <xdr:to>
      <xdr:col>17</xdr:col>
      <xdr:colOff>939800</xdr:colOff>
      <xdr:row>70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0.15761</cdr:x>
      <cdr:y>0.19834</cdr:y>
    </cdr:from>
    <cdr:to>
      <cdr:x>0.46039</cdr:x>
      <cdr:y>0.2791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247900" y="2120900"/>
          <a:ext cx="4318278" cy="863599"/>
        </a:xfrm>
        <a:prstGeom xmlns:a="http://schemas.openxmlformats.org/drawingml/2006/main" prst="rect">
          <a:avLst/>
        </a:prstGeom>
      </cdr:spPr>
    </cdr:pic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7</xdr:row>
      <xdr:rowOff>114300</xdr:rowOff>
    </xdr:from>
    <xdr:to>
      <xdr:col>17</xdr:col>
      <xdr:colOff>393700</xdr:colOff>
      <xdr:row>63</xdr:row>
      <xdr:rowOff>139700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0.12822</cdr:x>
      <cdr:y>0.16983</cdr:y>
    </cdr:from>
    <cdr:to>
      <cdr:x>0.41317</cdr:x>
      <cdr:y>0.24584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28707" y="1816022"/>
          <a:ext cx="4063985" cy="812805"/>
        </a:xfrm>
        <a:prstGeom xmlns:a="http://schemas.openxmlformats.org/drawingml/2006/main" prst="rect">
          <a:avLst/>
        </a:prstGeom>
      </cdr:spPr>
    </cdr:pic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431800</xdr:colOff>
      <xdr:row>10</xdr:row>
      <xdr:rowOff>146050</xdr:rowOff>
    </xdr:from>
    <xdr:to>
      <xdr:col>17</xdr:col>
      <xdr:colOff>660400</xdr:colOff>
      <xdr:row>66</xdr:row>
      <xdr:rowOff>177800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0.1309</cdr:x>
      <cdr:y>0.27181</cdr:y>
    </cdr:from>
    <cdr:to>
      <cdr:x>0.46037</cdr:x>
      <cdr:y>0.35965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66900" y="2908300"/>
          <a:ext cx="4698934" cy="9398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0.89047</cdr:x>
      <cdr:y>0.21246</cdr:y>
    </cdr:from>
    <cdr:to>
      <cdr:x>0.96883</cdr:x>
      <cdr:y>0.24806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700000" y="2273300"/>
          <a:ext cx="1117578" cy="380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/>
            <a:t>WhatsApp</a:t>
          </a:r>
        </a:p>
      </cdr:txBody>
    </cdr:sp>
  </cdr:relSizeAnchor>
  <cdr:relSizeAnchor xmlns:cdr="http://schemas.openxmlformats.org/drawingml/2006/chartDrawing">
    <cdr:from>
      <cdr:x>0.91541</cdr:x>
      <cdr:y>0.36439</cdr:y>
    </cdr:from>
    <cdr:to>
      <cdr:x>0.97864</cdr:x>
      <cdr:y>0.4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3055600" y="3898900"/>
          <a:ext cx="901793" cy="381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/>
            <a:t>WeChat</a:t>
          </a:r>
        </a:p>
      </cdr:txBody>
    </cdr:sp>
  </cdr:relSizeAnchor>
  <cdr:relSizeAnchor xmlns:cdr="http://schemas.openxmlformats.org/drawingml/2006/chartDrawing">
    <cdr:from>
      <cdr:x>0.93767</cdr:x>
      <cdr:y>0.54599</cdr:y>
    </cdr:from>
    <cdr:to>
      <cdr:x>0.97774</cdr:x>
      <cdr:y>0.58159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3373100" y="5842000"/>
          <a:ext cx="571482" cy="3809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/>
            <a:t>LINE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7</xdr:row>
      <xdr:rowOff>101600</xdr:rowOff>
    </xdr:from>
    <xdr:to>
      <xdr:col>17</xdr:col>
      <xdr:colOff>571500</xdr:colOff>
      <xdr:row>63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0.10062</cdr:x>
      <cdr:y>0.11164</cdr:y>
    </cdr:from>
    <cdr:to>
      <cdr:x>0.36775</cdr:x>
      <cdr:y>0.1829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435100" y="1193800"/>
          <a:ext cx="3809835" cy="762007"/>
        </a:xfrm>
        <a:prstGeom xmlns:a="http://schemas.openxmlformats.org/drawingml/2006/main" prst="rect">
          <a:avLst/>
        </a:prstGeom>
      </cdr:spPr>
    </cdr:pic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292099</xdr:colOff>
      <xdr:row>21</xdr:row>
      <xdr:rowOff>63500</xdr:rowOff>
    </xdr:from>
    <xdr:to>
      <xdr:col>11</xdr:col>
      <xdr:colOff>228599</xdr:colOff>
      <xdr:row>25</xdr:row>
      <xdr:rowOff>114300</xdr:rowOff>
    </xdr:to>
    <xdr:pic>
      <xdr:nvPicPr>
        <xdr:cNvPr id="2" name="chart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6699" y="4064000"/>
          <a:ext cx="4064000" cy="812800"/>
        </a:xfrm>
        <a:prstGeom prst="rect">
          <a:avLst/>
        </a:prstGeom>
      </xdr:spPr>
    </xdr:pic>
    <xdr:clientData/>
  </xdr:twoCellAnchor>
  <xdr:twoCellAnchor>
    <xdr:from>
      <xdr:col>5</xdr:col>
      <xdr:colOff>6350</xdr:colOff>
      <xdr:row>2</xdr:row>
      <xdr:rowOff>107950</xdr:rowOff>
    </xdr:from>
    <xdr:to>
      <xdr:col>22</xdr:col>
      <xdr:colOff>241300</xdr:colOff>
      <xdr:row>58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469899</xdr:colOff>
      <xdr:row>11</xdr:row>
      <xdr:rowOff>25400</xdr:rowOff>
    </xdr:from>
    <xdr:to>
      <xdr:col>21</xdr:col>
      <xdr:colOff>787399</xdr:colOff>
      <xdr:row>15</xdr:row>
      <xdr:rowOff>152400</xdr:rowOff>
    </xdr:to>
    <xdr:pic>
      <xdr:nvPicPr>
        <xdr:cNvPr id="4" name="chart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79499" y="2120900"/>
          <a:ext cx="4445000" cy="889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84008</xdr:colOff>
      <xdr:row>19</xdr:row>
      <xdr:rowOff>105266</xdr:rowOff>
    </xdr:from>
    <xdr:to>
      <xdr:col>16</xdr:col>
      <xdr:colOff>76200</xdr:colOff>
      <xdr:row>75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0.9632</cdr:y>
    </cdr:from>
    <cdr:to>
      <cdr:x>0.17534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0306050"/>
          <a:ext cx="2501900" cy="3937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 i="1"/>
            <a:t>Source: BI Intelligence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18142</xdr:colOff>
      <xdr:row>12</xdr:row>
      <xdr:rowOff>193221</xdr:rowOff>
    </xdr:from>
    <xdr:to>
      <xdr:col>19</xdr:col>
      <xdr:colOff>4354</xdr:colOff>
      <xdr:row>66</xdr:row>
      <xdr:rowOff>114844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0.1588</cdr:x>
      <cdr:y>0.01918</cdr:y>
    </cdr:from>
    <cdr:to>
      <cdr:x>0.87785</cdr:x>
      <cdr:y>0.08893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42458" y="195801"/>
          <a:ext cx="10153959" cy="7120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4000" b="1"/>
            <a:t>Snapchat</a:t>
          </a:r>
          <a:r>
            <a:rPr lang="en-US" sz="4000" b="1" baseline="0"/>
            <a:t>'s Daily Photo Shares Are Soaring </a:t>
          </a:r>
          <a:endParaRPr lang="en-US" sz="4000" b="1"/>
        </a:p>
      </cdr:txBody>
    </cdr:sp>
  </cdr:relSizeAnchor>
  <cdr:relSizeAnchor xmlns:cdr="http://schemas.openxmlformats.org/drawingml/2006/chartDrawing">
    <cdr:from>
      <cdr:x>0.19986</cdr:x>
      <cdr:y>0.30683</cdr:y>
    </cdr:from>
    <cdr:to>
      <cdr:x>0.44395</cdr:x>
      <cdr:y>0.3732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838824" y="3346823"/>
          <a:ext cx="3467100" cy="723900"/>
        </a:xfrm>
        <a:prstGeom xmlns:a="http://schemas.openxmlformats.org/drawingml/2006/main" prst="rect">
          <a:avLst/>
        </a:prstGeom>
      </cdr:spPr>
    </cdr:pic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165100</xdr:colOff>
      <xdr:row>3</xdr:row>
      <xdr:rowOff>38100</xdr:rowOff>
    </xdr:from>
    <xdr:to>
      <xdr:col>20</xdr:col>
      <xdr:colOff>393700</xdr:colOff>
      <xdr:row>59</xdr:row>
      <xdr:rowOff>63500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0.08545</cdr:x>
      <cdr:y>0.27791</cdr:y>
    </cdr:from>
    <cdr:to>
      <cdr:x>0.32714</cdr:x>
      <cdr:y>0.34316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218704" y="2971816"/>
          <a:ext cx="3447034" cy="697738"/>
        </a:xfrm>
        <a:prstGeom xmlns:a="http://schemas.openxmlformats.org/drawingml/2006/main" prst="rect">
          <a:avLst/>
        </a:prstGeom>
      </cdr:spPr>
    </cdr:pic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127000</xdr:colOff>
      <xdr:row>9</xdr:row>
      <xdr:rowOff>8466</xdr:rowOff>
    </xdr:from>
    <xdr:to>
      <xdr:col>19</xdr:col>
      <xdr:colOff>358140</xdr:colOff>
      <xdr:row>65</xdr:row>
      <xdr:rowOff>38946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0.19873</cdr:x>
      <cdr:y>0.21756</cdr:y>
    </cdr:from>
    <cdr:to>
      <cdr:x>0.49253</cdr:x>
      <cdr:y>0.29591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834811" y="2327561"/>
          <a:ext cx="4191000" cy="838200"/>
        </a:xfrm>
        <a:prstGeom xmlns:a="http://schemas.openxmlformats.org/drawingml/2006/main" prst="rect">
          <a:avLst/>
        </a:prstGeom>
      </cdr:spPr>
    </cdr:pic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7</xdr:row>
      <xdr:rowOff>12700</xdr:rowOff>
    </xdr:from>
    <xdr:to>
      <xdr:col>17</xdr:col>
      <xdr:colOff>444500</xdr:colOff>
      <xdr:row>62</xdr:row>
      <xdr:rowOff>25400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133350</xdr:rowOff>
    </xdr:from>
    <xdr:to>
      <xdr:col>17</xdr:col>
      <xdr:colOff>482600</xdr:colOff>
      <xdr:row>73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0.14337</cdr:x>
      <cdr:y>0.29318</cdr:y>
    </cdr:from>
    <cdr:to>
      <cdr:x>0.45503</cdr:x>
      <cdr:y>0.37626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044730" y="3136901"/>
          <a:ext cx="4445000" cy="88900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0.96372</cdr:y>
    </cdr:from>
    <cdr:to>
      <cdr:x>0.80068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927617"/>
          <a:ext cx="11386978" cy="33608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 i="1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Source: BI Intelligence Estimates</a:t>
          </a:r>
          <a:endParaRPr lang="en-US" sz="1800" i="1">
            <a:solidFill>
              <a:srgbClr val="0000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0.14242</cdr:x>
      <cdr:y>0.10252</cdr:y>
    </cdr:from>
    <cdr:to>
      <cdr:x>0.40971</cdr:x>
      <cdr:y>0.17432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030094" y="1088138"/>
          <a:ext cx="3810030" cy="7620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0.59252</cdr:x>
      <cdr:y>0.50334</cdr:y>
    </cdr:from>
    <cdr:to>
      <cdr:x>0.69789</cdr:x>
      <cdr:y>0.68567</cdr:y>
    </cdr:to>
    <cdr:cxnSp macro="">
      <cdr:nvCxnSpPr>
        <cdr:cNvPr id="4" name="Straight Connector 3"/>
        <cdr:cNvCxnSpPr/>
      </cdr:nvCxnSpPr>
      <cdr:spPr>
        <a:xfrm xmlns:a="http://schemas.openxmlformats.org/drawingml/2006/main">
          <a:off x="8445984" y="5342265"/>
          <a:ext cx="1501975" cy="1935165"/>
        </a:xfrm>
        <a:prstGeom xmlns:a="http://schemas.openxmlformats.org/drawingml/2006/main" prst="line">
          <a:avLst/>
        </a:prstGeom>
        <a:ln xmlns:a="http://schemas.openxmlformats.org/drawingml/2006/main" w="12700" cmpd="sng">
          <a:solidFill>
            <a:srgbClr val="000000"/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0.68727</cdr:x>
      <cdr:y>0.45077</cdr:y>
    </cdr:from>
    <cdr:to>
      <cdr:x>0.75408</cdr:x>
      <cdr:y>0.57919</cdr:y>
    </cdr:to>
    <cdr:cxnSp macro="">
      <cdr:nvCxnSpPr>
        <cdr:cNvPr id="13" name="Straight Connector 12"/>
        <cdr:cNvCxnSpPr/>
      </cdr:nvCxnSpPr>
      <cdr:spPr>
        <a:xfrm xmlns:a="http://schemas.openxmlformats.org/drawingml/2006/main">
          <a:off x="9796547" y="4784260"/>
          <a:ext cx="952330" cy="1362990"/>
        </a:xfrm>
        <a:prstGeom xmlns:a="http://schemas.openxmlformats.org/drawingml/2006/main" prst="line">
          <a:avLst/>
        </a:prstGeom>
        <a:ln xmlns:a="http://schemas.openxmlformats.org/drawingml/2006/main" w="12700" cmpd="sng">
          <a:solidFill>
            <a:srgbClr val="000000"/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0.8325</cdr:x>
      <cdr:y>0.27726</cdr:y>
    </cdr:from>
    <cdr:to>
      <cdr:x>0.88265</cdr:x>
      <cdr:y>0.4401</cdr:y>
    </cdr:to>
    <cdr:cxnSp macro="">
      <cdr:nvCxnSpPr>
        <cdr:cNvPr id="14" name="Straight Connector 13"/>
        <cdr:cNvCxnSpPr/>
      </cdr:nvCxnSpPr>
      <cdr:spPr>
        <a:xfrm xmlns:a="http://schemas.openxmlformats.org/drawingml/2006/main">
          <a:off x="11866692" y="2942734"/>
          <a:ext cx="714812" cy="1728290"/>
        </a:xfrm>
        <a:prstGeom xmlns:a="http://schemas.openxmlformats.org/drawingml/2006/main" prst="line">
          <a:avLst/>
        </a:prstGeom>
        <a:ln xmlns:a="http://schemas.openxmlformats.org/drawingml/2006/main" w="12700" cmpd="sng">
          <a:solidFill>
            <a:srgbClr val="000000"/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0.65252</cdr:x>
      <cdr:y>0.46991</cdr:y>
    </cdr:from>
    <cdr:to>
      <cdr:x>0.74073</cdr:x>
      <cdr:y>0.63145</cdr:y>
    </cdr:to>
    <cdr:cxnSp macro="">
      <cdr:nvCxnSpPr>
        <cdr:cNvPr id="10" name="Straight Connector 9"/>
        <cdr:cNvCxnSpPr/>
      </cdr:nvCxnSpPr>
      <cdr:spPr>
        <a:xfrm xmlns:a="http://schemas.openxmlformats.org/drawingml/2006/main">
          <a:off x="9301222" y="4987405"/>
          <a:ext cx="1257370" cy="1714529"/>
        </a:xfrm>
        <a:prstGeom xmlns:a="http://schemas.openxmlformats.org/drawingml/2006/main" prst="line">
          <a:avLst/>
        </a:prstGeom>
        <a:ln xmlns:a="http://schemas.openxmlformats.org/drawingml/2006/main" w="12700" cmpd="sng">
          <a:solidFill>
            <a:srgbClr val="000000"/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0.63803</cdr:x>
      <cdr:y>0.50895</cdr:y>
    </cdr:from>
    <cdr:to>
      <cdr:x>0.72482</cdr:x>
      <cdr:y>0.66068</cdr:y>
    </cdr:to>
    <cdr:cxnSp macro="">
      <cdr:nvCxnSpPr>
        <cdr:cNvPr id="15" name="Straight Connector 14"/>
        <cdr:cNvCxnSpPr/>
      </cdr:nvCxnSpPr>
      <cdr:spPr>
        <a:xfrm xmlns:a="http://schemas.openxmlformats.org/drawingml/2006/main">
          <a:off x="9094677" y="5401794"/>
          <a:ext cx="1237130" cy="1610391"/>
        </a:xfrm>
        <a:prstGeom xmlns:a="http://schemas.openxmlformats.org/drawingml/2006/main" prst="line">
          <a:avLst/>
        </a:prstGeom>
        <a:ln xmlns:a="http://schemas.openxmlformats.org/drawingml/2006/main" w="12700" cmpd="sng">
          <a:solidFill>
            <a:srgbClr val="000000"/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0.79604</cdr:x>
      <cdr:y>0.31108</cdr:y>
    </cdr:from>
    <cdr:to>
      <cdr:x>0.85745</cdr:x>
      <cdr:y>0.48188</cdr:y>
    </cdr:to>
    <cdr:cxnSp macro="">
      <cdr:nvCxnSpPr>
        <cdr:cNvPr id="19" name="Straight Connector 18"/>
        <cdr:cNvCxnSpPr/>
      </cdr:nvCxnSpPr>
      <cdr:spPr>
        <a:xfrm xmlns:a="http://schemas.openxmlformats.org/drawingml/2006/main">
          <a:off x="11347041" y="3301704"/>
          <a:ext cx="875251" cy="1812730"/>
        </a:xfrm>
        <a:prstGeom xmlns:a="http://schemas.openxmlformats.org/drawingml/2006/main" prst="line">
          <a:avLst/>
        </a:prstGeom>
        <a:ln xmlns:a="http://schemas.openxmlformats.org/drawingml/2006/main" w="12700" cmpd="sng">
          <a:solidFill>
            <a:srgbClr val="000000"/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0.73538</cdr:x>
      <cdr:y>0.34786</cdr:y>
    </cdr:from>
    <cdr:to>
      <cdr:x>0.80325</cdr:x>
      <cdr:y>0.50626</cdr:y>
    </cdr:to>
    <cdr:cxnSp macro="">
      <cdr:nvCxnSpPr>
        <cdr:cNvPr id="22" name="Straight Connector 21"/>
        <cdr:cNvCxnSpPr/>
      </cdr:nvCxnSpPr>
      <cdr:spPr>
        <a:xfrm xmlns:a="http://schemas.openxmlformats.org/drawingml/2006/main">
          <a:off x="10482392" y="3692034"/>
          <a:ext cx="967344" cy="1681181"/>
        </a:xfrm>
        <a:prstGeom xmlns:a="http://schemas.openxmlformats.org/drawingml/2006/main" prst="line">
          <a:avLst/>
        </a:prstGeom>
        <a:ln xmlns:a="http://schemas.openxmlformats.org/drawingml/2006/main" w="12700" cmpd="sng">
          <a:solidFill>
            <a:srgbClr val="000000"/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0.70589</cdr:x>
      <cdr:y>0.38494</cdr:y>
    </cdr:from>
    <cdr:to>
      <cdr:x>0.77555</cdr:x>
      <cdr:y>0.51929</cdr:y>
    </cdr:to>
    <cdr:cxnSp macro="">
      <cdr:nvCxnSpPr>
        <cdr:cNvPr id="25" name="Straight Connector 24"/>
        <cdr:cNvCxnSpPr/>
      </cdr:nvCxnSpPr>
      <cdr:spPr>
        <a:xfrm xmlns:a="http://schemas.openxmlformats.org/drawingml/2006/main">
          <a:off x="10061911" y="4085589"/>
          <a:ext cx="992954" cy="1425928"/>
        </a:xfrm>
        <a:prstGeom xmlns:a="http://schemas.openxmlformats.org/drawingml/2006/main" prst="line">
          <a:avLst/>
        </a:prstGeom>
        <a:ln xmlns:a="http://schemas.openxmlformats.org/drawingml/2006/main" w="12700" cmpd="sng">
          <a:solidFill>
            <a:srgbClr val="000000"/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0.87081</cdr:x>
      <cdr:y>0.26051</cdr:y>
    </cdr:from>
    <cdr:to>
      <cdr:x>0.90944</cdr:x>
      <cdr:y>0.40786</cdr:y>
    </cdr:to>
    <cdr:cxnSp macro="">
      <cdr:nvCxnSpPr>
        <cdr:cNvPr id="20" name="Straight Connector 19"/>
        <cdr:cNvCxnSpPr/>
      </cdr:nvCxnSpPr>
      <cdr:spPr>
        <a:xfrm xmlns:a="http://schemas.openxmlformats.org/drawingml/2006/main">
          <a:off x="12412739" y="2764965"/>
          <a:ext cx="550643" cy="1563904"/>
        </a:xfrm>
        <a:prstGeom xmlns:a="http://schemas.openxmlformats.org/drawingml/2006/main" prst="line">
          <a:avLst/>
        </a:prstGeom>
        <a:ln xmlns:a="http://schemas.openxmlformats.org/drawingml/2006/main" w="12700" cmpd="sng">
          <a:solidFill>
            <a:schemeClr val="tx1"/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11</xdr:row>
      <xdr:rowOff>152400</xdr:rowOff>
    </xdr:from>
    <xdr:to>
      <xdr:col>19</xdr:col>
      <xdr:colOff>139700</xdr:colOff>
      <xdr:row>67</xdr:row>
      <xdr:rowOff>177800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0.66429</cdr:x>
      <cdr:y>0.82779</cdr:y>
    </cdr:from>
    <cdr:to>
      <cdr:x>0.95815</cdr:x>
      <cdr:y>0.90618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9474200" y="8851900"/>
          <a:ext cx="4191033" cy="838200"/>
        </a:xfrm>
        <a:prstGeom xmlns:a="http://schemas.openxmlformats.org/drawingml/2006/main" prst="rect">
          <a:avLst/>
        </a:prstGeom>
      </cdr:spPr>
    </cdr:pic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617462</xdr:colOff>
      <xdr:row>25</xdr:row>
      <xdr:rowOff>33866</xdr:rowOff>
    </xdr:from>
    <xdr:to>
      <xdr:col>8</xdr:col>
      <xdr:colOff>381000</xdr:colOff>
      <xdr:row>77</xdr:row>
      <xdr:rowOff>165946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0.12543</cdr:x>
      <cdr:y>0.13618</cdr:y>
    </cdr:from>
    <cdr:to>
      <cdr:x>0.41028</cdr:x>
      <cdr:y>0.21225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789502" y="1455074"/>
          <a:ext cx="4064000" cy="812800"/>
        </a:xfrm>
        <a:prstGeom xmlns:a="http://schemas.openxmlformats.org/drawingml/2006/main" prst="rect">
          <a:avLst/>
        </a:prstGeom>
      </cdr:spPr>
    </cdr:pic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16</xdr:row>
      <xdr:rowOff>139700</xdr:rowOff>
    </xdr:from>
    <xdr:to>
      <xdr:col>17</xdr:col>
      <xdr:colOff>406400</xdr:colOff>
      <xdr:row>72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0.64826</cdr:x>
      <cdr:y>0.28622</cdr:y>
    </cdr:from>
    <cdr:to>
      <cdr:x>0.91541</cdr:x>
      <cdr:y>0.35748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9245600" y="3060699"/>
          <a:ext cx="38100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749300</xdr:colOff>
      <xdr:row>15</xdr:row>
      <xdr:rowOff>101600</xdr:rowOff>
    </xdr:from>
    <xdr:to>
      <xdr:col>13</xdr:col>
      <xdr:colOff>789940</xdr:colOff>
      <xdr:row>71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749300</xdr:colOff>
      <xdr:row>22</xdr:row>
      <xdr:rowOff>127000</xdr:rowOff>
    </xdr:from>
    <xdr:to>
      <xdr:col>36</xdr:col>
      <xdr:colOff>152400</xdr:colOff>
      <xdr:row>78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0.81628</cdr:x>
      <cdr:y>0.33254</cdr:y>
    </cdr:from>
    <cdr:to>
      <cdr:x>0.84669</cdr:x>
      <cdr:y>0.39549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11643975" y="3556000"/>
          <a:ext cx="433725" cy="6731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1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0.15494</cdr:x>
      <cdr:y>0.2019</cdr:y>
    </cdr:from>
    <cdr:to>
      <cdr:x>0.43099</cdr:x>
      <cdr:y>0.27553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209800" y="2159000"/>
          <a:ext cx="3937000" cy="787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0.71933</cdr:x>
      <cdr:y>0.41211</cdr:y>
    </cdr:from>
    <cdr:to>
      <cdr:x>0.74964</cdr:x>
      <cdr:y>0.48219</cdr:y>
    </cdr:to>
    <cdr:cxnSp macro="">
      <cdr:nvCxnSpPr>
        <cdr:cNvPr id="6" name="Straight Connector 2"/>
        <cdr:cNvCxnSpPr/>
      </cdr:nvCxnSpPr>
      <cdr:spPr>
        <a:xfrm xmlns:a="http://schemas.openxmlformats.org/drawingml/2006/main">
          <a:off x="10260980" y="4406853"/>
          <a:ext cx="432420" cy="74934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2">
              <a:lumMod val="50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0.15494</cdr:x>
      <cdr:y>0.2019</cdr:y>
    </cdr:from>
    <cdr:to>
      <cdr:x>0.43099</cdr:x>
      <cdr:y>0.27553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209800" y="2159000"/>
          <a:ext cx="3937000" cy="7874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0.90706</cdr:x>
      <cdr:y>0.26247</cdr:y>
    </cdr:from>
    <cdr:to>
      <cdr:x>0.93588</cdr:x>
      <cdr:y>0.32185</cdr:y>
    </cdr:to>
    <cdr:cxnSp macro="">
      <cdr:nvCxnSpPr>
        <cdr:cNvPr id="11" name="Straight Connector 10"/>
        <cdr:cNvCxnSpPr/>
      </cdr:nvCxnSpPr>
      <cdr:spPr>
        <a:xfrm xmlns:a="http://schemas.openxmlformats.org/drawingml/2006/main">
          <a:off x="15989300" y="2806700"/>
          <a:ext cx="508000" cy="6350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2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0.58213</cdr:x>
      <cdr:y>0.49762</cdr:y>
    </cdr:from>
    <cdr:to>
      <cdr:x>0.60519</cdr:x>
      <cdr:y>0.55463</cdr:y>
    </cdr:to>
    <cdr:cxnSp macro="">
      <cdr:nvCxnSpPr>
        <cdr:cNvPr id="16" name="Straight Connector 15"/>
        <cdr:cNvCxnSpPr/>
      </cdr:nvCxnSpPr>
      <cdr:spPr>
        <a:xfrm xmlns:a="http://schemas.openxmlformats.org/drawingml/2006/main">
          <a:off x="10261600" y="5321300"/>
          <a:ext cx="406400" cy="6096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2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0.15939</cdr:x>
      <cdr:y>0.25416</cdr:y>
    </cdr:from>
    <cdr:to>
      <cdr:x>0.44434</cdr:x>
      <cdr:y>0.33017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273270" y="2717797"/>
          <a:ext cx="4064000" cy="8128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0.84684</cdr:x>
      <cdr:y>0.33729</cdr:y>
    </cdr:from>
    <cdr:to>
      <cdr:x>0.89849</cdr:x>
      <cdr:y>0.39074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12077700" y="3606800"/>
          <a:ext cx="736600" cy="5715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2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0.7382</cdr:x>
      <cdr:y>0.56413</cdr:y>
    </cdr:from>
    <cdr:to>
      <cdr:x>0.7943</cdr:x>
      <cdr:y>0.63658</cdr:y>
    </cdr:to>
    <cdr:cxnSp macro="">
      <cdr:nvCxnSpPr>
        <cdr:cNvPr id="7" name="Straight Connector 6"/>
        <cdr:cNvCxnSpPr/>
      </cdr:nvCxnSpPr>
      <cdr:spPr>
        <a:xfrm xmlns:a="http://schemas.openxmlformats.org/drawingml/2006/main">
          <a:off x="10528300" y="6032500"/>
          <a:ext cx="800100" cy="7747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2">
              <a:lumMod val="75000"/>
            </a:schemeClr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342900</xdr:colOff>
      <xdr:row>19</xdr:row>
      <xdr:rowOff>76200</xdr:rowOff>
    </xdr:from>
    <xdr:to>
      <xdr:col>29</xdr:col>
      <xdr:colOff>574040</xdr:colOff>
      <xdr:row>75</xdr:row>
      <xdr:rowOff>106680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22</xdr:row>
      <xdr:rowOff>0</xdr:rowOff>
    </xdr:from>
    <xdr:to>
      <xdr:col>10</xdr:col>
      <xdr:colOff>726440</xdr:colOff>
      <xdr:row>78</xdr:row>
      <xdr:rowOff>30480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1294849</xdr:colOff>
      <xdr:row>27</xdr:row>
      <xdr:rowOff>39755</xdr:rowOff>
    </xdr:from>
    <xdr:to>
      <xdr:col>19</xdr:col>
      <xdr:colOff>92528</xdr:colOff>
      <xdr:row>80</xdr:row>
      <xdr:rowOff>145143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0.20744</cdr:x>
      <cdr:y>0.18519</cdr:y>
    </cdr:from>
    <cdr:to>
      <cdr:x>0.45672</cdr:x>
      <cdr:y>0.25166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959100" y="1981200"/>
          <a:ext cx="3555889" cy="711128"/>
        </a:xfrm>
        <a:prstGeom xmlns:a="http://schemas.openxmlformats.org/drawingml/2006/main" prst="rect">
          <a:avLst/>
        </a:prstGeom>
      </cdr:spPr>
    </cdr:pic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0.62411</cdr:x>
      <cdr:y>0.61135</cdr:y>
    </cdr:from>
    <cdr:to>
      <cdr:x>0.87339</cdr:x>
      <cdr:y>0.67782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902700" y="6540500"/>
          <a:ext cx="3555889" cy="711128"/>
        </a:xfrm>
        <a:prstGeom xmlns:a="http://schemas.openxmlformats.org/drawingml/2006/main" prst="rect">
          <a:avLst/>
        </a:prstGeom>
      </cdr:spPr>
    </cdr:pic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586740</xdr:colOff>
      <xdr:row>3</xdr:row>
      <xdr:rowOff>121920</xdr:rowOff>
    </xdr:from>
    <xdr:to>
      <xdr:col>19</xdr:col>
      <xdr:colOff>332740</xdr:colOff>
      <xdr:row>53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0.14256</cdr:x>
      <cdr:y>0.51092</cdr:y>
    </cdr:from>
    <cdr:to>
      <cdr:x>0.36013</cdr:x>
      <cdr:y>0.56837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072640" y="5466080"/>
          <a:ext cx="3163242" cy="61462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0.6959</cdr:x>
      <cdr:y>0.73504</cdr:y>
    </cdr:from>
    <cdr:to>
      <cdr:x>0.69605</cdr:x>
      <cdr:y>0.78917</cdr:y>
    </cdr:to>
    <cdr:cxnSp macro="">
      <cdr:nvCxnSpPr>
        <cdr:cNvPr id="5" name="Straight Arrow Connector 4"/>
        <cdr:cNvCxnSpPr/>
      </cdr:nvCxnSpPr>
      <cdr:spPr>
        <a:xfrm xmlns:a="http://schemas.openxmlformats.org/drawingml/2006/main">
          <a:off x="9926703" y="7863840"/>
          <a:ext cx="2157" cy="57912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9BBB59"/>
          </a:solidFill>
          <a:tailEnd type="arrow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0.8734</cdr:x>
      <cdr:y>0.74834</cdr:y>
    </cdr:from>
    <cdr:to>
      <cdr:x>0.87421</cdr:x>
      <cdr:y>0.79582</cdr:y>
    </cdr:to>
    <cdr:cxnSp macro="">
      <cdr:nvCxnSpPr>
        <cdr:cNvPr id="13" name="Straight Arrow Connector 12"/>
        <cdr:cNvCxnSpPr/>
      </cdr:nvCxnSpPr>
      <cdr:spPr>
        <a:xfrm xmlns:a="http://schemas.openxmlformats.org/drawingml/2006/main">
          <a:off x="12458700" y="8006080"/>
          <a:ext cx="11646" cy="5080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C0504D"/>
          </a:solidFill>
          <a:tailEnd type="arrow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0.39162</cdr:x>
      <cdr:y>0.73789</cdr:y>
    </cdr:from>
    <cdr:to>
      <cdr:x>0.39162</cdr:x>
      <cdr:y>0.80722</cdr:y>
    </cdr:to>
    <cdr:cxnSp macro="">
      <cdr:nvCxnSpPr>
        <cdr:cNvPr id="15" name="Straight Arrow Connector 14"/>
        <cdr:cNvCxnSpPr/>
      </cdr:nvCxnSpPr>
      <cdr:spPr>
        <a:xfrm xmlns:a="http://schemas.openxmlformats.org/drawingml/2006/main">
          <a:off x="5586275" y="7894320"/>
          <a:ext cx="0" cy="74168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accent1"/>
          </a:solidFill>
          <a:tailEnd type="arrow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0.33405</cdr:x>
      <cdr:y>0.67711</cdr:y>
    </cdr:from>
    <cdr:to>
      <cdr:x>0.45157</cdr:x>
      <cdr:y>0.73789</cdr:y>
    </cdr:to>
    <cdr:sp macro="" textlink="">
      <cdr:nvSpPr>
        <cdr:cNvPr id="21" name="Rectangle 20"/>
        <cdr:cNvSpPr/>
      </cdr:nvSpPr>
      <cdr:spPr>
        <a:xfrm xmlns:a="http://schemas.openxmlformats.org/drawingml/2006/main">
          <a:off x="4765040" y="7244080"/>
          <a:ext cx="1676400" cy="65024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/>
        </a:solidFill>
        <a:ln xmlns:a="http://schemas.openxmlformats.org/drawingml/2006/main">
          <a:solidFill>
            <a:srgbClr val="4F81BD"/>
          </a:solidFill>
        </a:ln>
      </cdr:spPr>
      <cdr:style>
        <a:lnRef xmlns:a="http://schemas.openxmlformats.org/drawingml/2006/main" idx="2">
          <a:schemeClr val="accent4">
            <a:shade val="50000"/>
          </a:schemeClr>
        </a:lnRef>
        <a:fillRef xmlns:a="http://schemas.openxmlformats.org/drawingml/2006/main" idx="1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800"/>
            <a:t>Hits 1,000,000 Rides</a:t>
          </a:r>
        </a:p>
      </cdr:txBody>
    </cdr:sp>
  </cdr:relSizeAnchor>
  <cdr:relSizeAnchor xmlns:cdr="http://schemas.openxmlformats.org/drawingml/2006/chartDrawing">
    <cdr:from>
      <cdr:x>0.6396</cdr:x>
      <cdr:y>0.67426</cdr:y>
    </cdr:from>
    <cdr:to>
      <cdr:x>0.75712</cdr:x>
      <cdr:y>0.73504</cdr:y>
    </cdr:to>
    <cdr:sp macro="" textlink="">
      <cdr:nvSpPr>
        <cdr:cNvPr id="22" name="Rectangle 21"/>
        <cdr:cNvSpPr/>
      </cdr:nvSpPr>
      <cdr:spPr>
        <a:xfrm xmlns:a="http://schemas.openxmlformats.org/drawingml/2006/main">
          <a:off x="9123680" y="7213600"/>
          <a:ext cx="1676400" cy="65024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/>
        </a:solidFill>
        <a:ln xmlns:a="http://schemas.openxmlformats.org/drawingml/2006/main">
          <a:solidFill>
            <a:schemeClr val="accent3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800"/>
            <a:t>Hits 1,000,000 Rides</a:t>
          </a:r>
        </a:p>
      </cdr:txBody>
    </cdr:sp>
  </cdr:relSizeAnchor>
  <cdr:relSizeAnchor xmlns:cdr="http://schemas.openxmlformats.org/drawingml/2006/chartDrawing">
    <cdr:from>
      <cdr:x>0.81553</cdr:x>
      <cdr:y>0.68756</cdr:y>
    </cdr:from>
    <cdr:to>
      <cdr:x>0.93305</cdr:x>
      <cdr:y>0.74929</cdr:y>
    </cdr:to>
    <cdr:sp macro="" textlink="">
      <cdr:nvSpPr>
        <cdr:cNvPr id="23" name="Rectangle 22"/>
        <cdr:cNvSpPr/>
      </cdr:nvSpPr>
      <cdr:spPr>
        <a:xfrm xmlns:a="http://schemas.openxmlformats.org/drawingml/2006/main">
          <a:off x="11633200" y="7355840"/>
          <a:ext cx="1676400" cy="6604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800"/>
            <a:t>Hits 1,000,000 Rides</a:t>
          </a:r>
        </a:p>
      </cdr:txBody>
    </cdr: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33866</xdr:colOff>
      <xdr:row>38</xdr:row>
      <xdr:rowOff>55032</xdr:rowOff>
    </xdr:from>
    <xdr:to>
      <xdr:col>35</xdr:col>
      <xdr:colOff>186266</xdr:colOff>
      <xdr:row>95</xdr:row>
      <xdr:rowOff>135466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755276</xdr:colOff>
      <xdr:row>74</xdr:row>
      <xdr:rowOff>173316</xdr:rowOff>
    </xdr:from>
    <xdr:to>
      <xdr:col>12</xdr:col>
      <xdr:colOff>317750</xdr:colOff>
      <xdr:row>77</xdr:row>
      <xdr:rowOff>79687</xdr:rowOff>
    </xdr:to>
    <xdr:cxnSp macro="">
      <xdr:nvCxnSpPr>
        <xdr:cNvPr id="3" name="Straight Connector 2"/>
        <xdr:cNvCxnSpPr/>
      </xdr:nvCxnSpPr>
      <xdr:spPr>
        <a:xfrm>
          <a:off x="11423276" y="14460816"/>
          <a:ext cx="387974" cy="47787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341032</xdr:colOff>
      <xdr:row>54</xdr:row>
      <xdr:rowOff>176772</xdr:rowOff>
    </xdr:from>
    <xdr:to>
      <xdr:col>61</xdr:col>
      <xdr:colOff>508000</xdr:colOff>
      <xdr:row>112</xdr:row>
      <xdr:rowOff>67733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14940</xdr:colOff>
      <xdr:row>59</xdr:row>
      <xdr:rowOff>2987</xdr:rowOff>
    </xdr:from>
    <xdr:to>
      <xdr:col>11</xdr:col>
      <xdr:colOff>119528</xdr:colOff>
      <xdr:row>89</xdr:row>
      <xdr:rowOff>179294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277091</xdr:colOff>
      <xdr:row>122</xdr:row>
      <xdr:rowOff>141622</xdr:rowOff>
    </xdr:from>
    <xdr:to>
      <xdr:col>44</xdr:col>
      <xdr:colOff>423333</xdr:colOff>
      <xdr:row>180</xdr:row>
      <xdr:rowOff>33867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0.16947</cdr:x>
      <cdr:y>0.17636</cdr:y>
    </cdr:from>
    <cdr:to>
      <cdr:x>0.50795</cdr:x>
      <cdr:y>0.26658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416332" y="1886624"/>
          <a:ext cx="4826000" cy="9652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0.96043</cdr:y>
    </cdr:from>
    <cdr:to>
      <cdr:x>0.36573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10274303"/>
          <a:ext cx="5214530" cy="42333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 i="1">
              <a:solidFill>
                <a:srgbClr val="000000"/>
              </a:solidFill>
            </a:rPr>
            <a:t>Source:</a:t>
          </a:r>
          <a:r>
            <a:rPr lang="en-US" sz="1800" i="1" baseline="0">
              <a:solidFill>
                <a:srgbClr val="000000"/>
              </a:solidFill>
            </a:rPr>
            <a:t> News Reports, Company Releases</a:t>
          </a:r>
          <a:endParaRPr lang="en-US" sz="1800" i="1">
            <a:solidFill>
              <a:srgbClr val="000000"/>
            </a:solidFill>
          </a:endParaRPr>
        </a:p>
      </cdr:txBody>
    </cdr:sp>
  </cdr:relSizeAnchor>
</c:userShapes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0.00356</cdr:x>
      <cdr:y>0.95883</cdr:y>
    </cdr:from>
    <cdr:to>
      <cdr:x>0.4677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10254161"/>
          <a:ext cx="6624408" cy="44026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 i="1">
              <a:solidFill>
                <a:srgbClr val="000000"/>
              </a:solidFill>
            </a:rPr>
            <a:t>Source: news reports, company releases, BII estimates</a:t>
          </a:r>
        </a:p>
      </cdr:txBody>
    </cdr:sp>
  </cdr:relSizeAnchor>
  <cdr:relSizeAnchor xmlns:cdr="http://schemas.openxmlformats.org/drawingml/2006/chartDrawing">
    <cdr:from>
      <cdr:x>0.12718</cdr:x>
      <cdr:y>0.11772</cdr:y>
    </cdr:from>
    <cdr:to>
      <cdr:x>0.43862</cdr:x>
      <cdr:y>0.20085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15151" y="1258962"/>
          <a:ext cx="4445000" cy="889000"/>
        </a:xfrm>
        <a:prstGeom xmlns:a="http://schemas.openxmlformats.org/drawingml/2006/main" prst="rect">
          <a:avLst/>
        </a:prstGeom>
      </cdr:spPr>
    </cdr:pic>
  </cdr:relSizeAnchor>
</c:userShapes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0.78454</cdr:x>
      <cdr:y>0.33549</cdr:y>
    </cdr:from>
    <cdr:to>
      <cdr:x>0.83195</cdr:x>
      <cdr:y>0.41531</cdr:y>
    </cdr:to>
    <cdr:cxnSp macro="">
      <cdr:nvCxnSpPr>
        <cdr:cNvPr id="2" name="Straight Connector 1"/>
        <cdr:cNvCxnSpPr/>
      </cdr:nvCxnSpPr>
      <cdr:spPr>
        <a:xfrm xmlns:a="http://schemas.openxmlformats.org/drawingml/2006/main">
          <a:off x="7126943" y="2014071"/>
          <a:ext cx="430725" cy="47917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0.84375</cdr:x>
      <cdr:y>0.22598</cdr:y>
    </cdr:from>
    <cdr:to>
      <cdr:x>0.8836</cdr:x>
      <cdr:y>0.28738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7664826" y="1356660"/>
          <a:ext cx="361994" cy="368609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0.129</cdr:x>
      <cdr:y>0.16166</cdr:y>
    </cdr:from>
    <cdr:to>
      <cdr:x>0.46763</cdr:x>
      <cdr:y>0.2519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38466" y="1729017"/>
          <a:ext cx="4826000" cy="965200"/>
        </a:xfrm>
        <a:prstGeom xmlns:a="http://schemas.openxmlformats.org/drawingml/2006/main" prst="rect">
          <a:avLst/>
        </a:prstGeom>
      </cdr:spPr>
    </cdr:pic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</xdr:colOff>
      <xdr:row>10</xdr:row>
      <xdr:rowOff>63500</xdr:rowOff>
    </xdr:from>
    <xdr:to>
      <xdr:col>19</xdr:col>
      <xdr:colOff>279400</xdr:colOff>
      <xdr:row>66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0.11836</cdr:x>
      <cdr:y>0.10426</cdr:y>
    </cdr:from>
    <cdr:to>
      <cdr:x>0.40604</cdr:x>
      <cdr:y>0.18393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671992" y="1063661"/>
          <a:ext cx="4064000" cy="812800"/>
        </a:xfrm>
        <a:prstGeom xmlns:a="http://schemas.openxmlformats.org/drawingml/2006/main" prst="rect">
          <a:avLst/>
        </a:prstGeom>
      </cdr:spPr>
    </cdr:pic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0.13191</cdr:x>
      <cdr:y>0.10689</cdr:y>
    </cdr:from>
    <cdr:to>
      <cdr:x>0.41711</cdr:x>
      <cdr:y>0.1829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79627" y="1143018"/>
          <a:ext cx="4063929" cy="81280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0.85383</cdr:x>
      <cdr:y>0.49287</cdr:y>
    </cdr:from>
    <cdr:to>
      <cdr:x>0.99287</cdr:x>
      <cdr:y>0.61757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2166598" y="5270486"/>
          <a:ext cx="1981237" cy="1333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 i="0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Feature Phones</a:t>
          </a:r>
          <a:endParaRPr lang="en-US" sz="2000">
            <a:solidFill>
              <a:srgbClr val="0000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0.86096</cdr:x>
      <cdr:y>0.29572</cdr:y>
    </cdr:from>
    <cdr:to>
      <cdr:x>1</cdr:x>
      <cdr:y>0.41567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2268164" y="3162286"/>
          <a:ext cx="1981236" cy="12826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 i="0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Smartphones</a:t>
          </a:r>
          <a:endParaRPr lang="en-US" sz="2000">
            <a:solidFill>
              <a:srgbClr val="000000"/>
            </a:solidFill>
            <a:effectLst/>
          </a:endParaRP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346365</xdr:colOff>
      <xdr:row>17</xdr:row>
      <xdr:rowOff>137458</xdr:rowOff>
    </xdr:from>
    <xdr:to>
      <xdr:col>11</xdr:col>
      <xdr:colOff>286970</xdr:colOff>
      <xdr:row>58</xdr:row>
      <xdr:rowOff>97866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789455</xdr:colOff>
      <xdr:row>27</xdr:row>
      <xdr:rowOff>116696</xdr:rowOff>
    </xdr:from>
    <xdr:to>
      <xdr:col>43</xdr:col>
      <xdr:colOff>36285</xdr:colOff>
      <xdr:row>93</xdr:row>
      <xdr:rowOff>36285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0.72232</cdr:x>
      <cdr:y>0.82551</cdr:y>
    </cdr:from>
    <cdr:to>
      <cdr:x>0.96372</cdr:x>
      <cdr:y>0.90101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527935" y="5554635"/>
          <a:ext cx="2515790" cy="50802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0.052</cdr:x>
      <cdr:y>0.94892</cdr:y>
    </cdr:from>
    <cdr:to>
      <cdr:x>0.25723</cdr:x>
      <cdr:y>0.99108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43857" y="6355976"/>
          <a:ext cx="2146563" cy="28238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i="1"/>
            <a:t>Source: comScore</a:t>
          </a:r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0.64585</cdr:x>
      <cdr:y>0.80695</cdr:y>
    </cdr:from>
    <cdr:to>
      <cdr:x>0.96958</cdr:x>
      <cdr:y>0.88952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107621" y="7943400"/>
          <a:ext cx="4064000" cy="812800"/>
        </a:xfrm>
        <a:prstGeom xmlns:a="http://schemas.openxmlformats.org/drawingml/2006/main" prst="rect">
          <a:avLst/>
        </a:prstGeom>
      </cdr:spPr>
    </cdr:pic>
  </cdr:relSizeAnchor>
</c:userShapes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685800</xdr:colOff>
      <xdr:row>52</xdr:row>
      <xdr:rowOff>0</xdr:rowOff>
    </xdr:from>
    <xdr:to>
      <xdr:col>22</xdr:col>
      <xdr:colOff>558800</xdr:colOff>
      <xdr:row>122</xdr:row>
      <xdr:rowOff>25400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0.68637</cdr:x>
      <cdr:y>0.77725</cdr:y>
    </cdr:from>
    <cdr:to>
      <cdr:x>0.98023</cdr:x>
      <cdr:y>0.85563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9789078" y="8311445"/>
          <a:ext cx="4191000" cy="8382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0.00179</cdr:x>
      <cdr:y>0.95556</cdr:y>
    </cdr:from>
    <cdr:to>
      <cdr:x>0.23602</cdr:x>
      <cdr:y>0.98889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5400" y="8737600"/>
          <a:ext cx="3319789" cy="3048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000" i="1">
              <a:solidFill>
                <a:srgbClr val="FFFFFF"/>
              </a:solidFill>
            </a:rPr>
            <a:t>Source: comScore,</a:t>
          </a:r>
          <a:r>
            <a:rPr lang="en-US" sz="2000" i="1" baseline="0">
              <a:solidFill>
                <a:srgbClr val="FFFFFF"/>
              </a:solidFill>
            </a:rPr>
            <a:t> Nielsen</a:t>
          </a:r>
          <a:endParaRPr lang="en-US" sz="2000" i="1">
            <a:solidFill>
              <a:srgbClr val="FFFFFF"/>
            </a:solidFill>
          </a:endParaRPr>
        </a:p>
      </cdr:txBody>
    </cdr:sp>
  </cdr:relSizeAnchor>
</c:userShapes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23</xdr:row>
      <xdr:rowOff>101600</xdr:rowOff>
    </xdr:from>
    <xdr:to>
      <xdr:col>8</xdr:col>
      <xdr:colOff>495300</xdr:colOff>
      <xdr:row>79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0.59076</cdr:x>
      <cdr:y>0.28681</cdr:y>
    </cdr:from>
    <cdr:to>
      <cdr:x>0.87571</cdr:x>
      <cdr:y>0.36282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25527" y="3066974"/>
          <a:ext cx="4064000" cy="8128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0.62445</cdr:x>
      <cdr:y>0.59739</cdr:y>
    </cdr:from>
    <cdr:to>
      <cdr:x>0.70994</cdr:x>
      <cdr:y>0.63658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3212187" y="6388130"/>
          <a:ext cx="1808815" cy="4190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/>
        </a:solidFill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>
              <a:solidFill>
                <a:schemeClr val="tx1"/>
              </a:solidFill>
            </a:rPr>
            <a:t>Top</a:t>
          </a:r>
          <a:r>
            <a:rPr lang="en-US" baseline="0">
              <a:solidFill>
                <a:schemeClr val="tx1"/>
              </a:solidFill>
            </a:rPr>
            <a:t> 11 Markets</a:t>
          </a:r>
          <a:endParaRPr lang="en-US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0.55744</cdr:x>
      <cdr:y>0.61876</cdr:y>
    </cdr:from>
    <cdr:to>
      <cdr:x>0.61175</cdr:x>
      <cdr:y>0.61876</cdr:y>
    </cdr:to>
    <cdr:cxnSp macro="">
      <cdr:nvCxnSpPr>
        <cdr:cNvPr id="6" name="Straight Arrow Connector 5"/>
        <cdr:cNvCxnSpPr/>
      </cdr:nvCxnSpPr>
      <cdr:spPr>
        <a:xfrm xmlns:a="http://schemas.openxmlformats.org/drawingml/2006/main" flipH="1">
          <a:off x="7950200" y="6616700"/>
          <a:ext cx="774700" cy="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0.73197</cdr:x>
      <cdr:y>0.64846</cdr:y>
    </cdr:from>
    <cdr:to>
      <cdr:x>0.813</cdr:x>
      <cdr:y>0.68052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10439400" y="6934200"/>
          <a:ext cx="1155700" cy="3429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/>
        </a:solidFill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>
              <a:solidFill>
                <a:srgbClr val="000000"/>
              </a:solidFill>
            </a:rPr>
            <a:t>Other Markets</a:t>
          </a:r>
        </a:p>
      </cdr:txBody>
    </cdr:sp>
  </cdr:relSizeAnchor>
  <cdr:relSizeAnchor xmlns:cdr="http://schemas.openxmlformats.org/drawingml/2006/chartDrawing">
    <cdr:from>
      <cdr:x>0.82369</cdr:x>
      <cdr:y>0.66508</cdr:y>
    </cdr:from>
    <cdr:to>
      <cdr:x>0.86287</cdr:x>
      <cdr:y>0.66508</cdr:y>
    </cdr:to>
    <cdr:cxnSp macro="">
      <cdr:nvCxnSpPr>
        <cdr:cNvPr id="9" name="Straight Arrow Connector 8"/>
        <cdr:cNvCxnSpPr/>
      </cdr:nvCxnSpPr>
      <cdr:spPr>
        <a:xfrm xmlns:a="http://schemas.openxmlformats.org/drawingml/2006/main">
          <a:off x="11747500" y="7112000"/>
          <a:ext cx="558800" cy="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11</xdr:row>
      <xdr:rowOff>19050</xdr:rowOff>
    </xdr:from>
    <xdr:to>
      <xdr:col>17</xdr:col>
      <xdr:colOff>749300</xdr:colOff>
      <xdr:row>67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0.13802</cdr:x>
      <cdr:y>0.22908</cdr:y>
    </cdr:from>
    <cdr:to>
      <cdr:x>0.43188</cdr:x>
      <cdr:y>0.30751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968455" y="2448188"/>
          <a:ext cx="4191000" cy="838200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444506</xdr:colOff>
      <xdr:row>22</xdr:row>
      <xdr:rowOff>19050</xdr:rowOff>
    </xdr:from>
    <xdr:to>
      <xdr:col>23</xdr:col>
      <xdr:colOff>14653</xdr:colOff>
      <xdr:row>78</xdr:row>
      <xdr:rowOff>49242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14</xdr:row>
      <xdr:rowOff>152400</xdr:rowOff>
    </xdr:from>
    <xdr:to>
      <xdr:col>17</xdr:col>
      <xdr:colOff>355600</xdr:colOff>
      <xdr:row>70</xdr:row>
      <xdr:rowOff>177800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c:userShapes xmlns:c="http://schemas.openxmlformats.org/drawingml/2006/chart">
  <cdr:relSizeAnchor xmlns:cdr="http://schemas.openxmlformats.org/drawingml/2006/chartDrawing">
    <cdr:from>
      <cdr:x>0.55979</cdr:x>
      <cdr:y>0.18618</cdr:y>
    </cdr:from>
    <cdr:to>
      <cdr:x>0.84857</cdr:x>
      <cdr:y>0.26267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983764" y="1990928"/>
          <a:ext cx="4118610" cy="817880"/>
        </a:xfrm>
        <a:prstGeom xmlns:a="http://schemas.openxmlformats.org/drawingml/2006/main" prst="rect">
          <a:avLst/>
        </a:prstGeom>
      </cdr:spPr>
    </cdr:pic>
  </cdr:relSizeAnchor>
</c:userShapes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95250</xdr:rowOff>
    </xdr:from>
    <xdr:to>
      <xdr:col>18</xdr:col>
      <xdr:colOff>254000</xdr:colOff>
      <xdr:row>77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c:userShapes xmlns:c="http://schemas.openxmlformats.org/drawingml/2006/chart">
  <cdr:relSizeAnchor xmlns:cdr="http://schemas.openxmlformats.org/drawingml/2006/chartDrawing">
    <cdr:from>
      <cdr:x>0.68625</cdr:x>
      <cdr:y>0.14023</cdr:y>
    </cdr:from>
    <cdr:to>
      <cdr:x>0.95145</cdr:x>
      <cdr:y>0.21153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9791717" y="1498601"/>
          <a:ext cx="3783993" cy="761986"/>
        </a:xfrm>
        <a:prstGeom xmlns:a="http://schemas.openxmlformats.org/drawingml/2006/main" prst="rect">
          <a:avLst/>
        </a:prstGeom>
      </cdr:spPr>
    </cdr:pic>
  </cdr:relSizeAnchor>
</c:userShapes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31</xdr:row>
      <xdr:rowOff>25400</xdr:rowOff>
    </xdr:from>
    <xdr:to>
      <xdr:col>17</xdr:col>
      <xdr:colOff>368300</xdr:colOff>
      <xdr:row>87</xdr:row>
      <xdr:rowOff>50800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0.10418</cdr:x>
      <cdr:y>0.10451</cdr:y>
    </cdr:from>
    <cdr:to>
      <cdr:x>0.39804</cdr:x>
      <cdr:y>0.1829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485874" y="1117555"/>
          <a:ext cx="4191061" cy="838255"/>
        </a:xfrm>
        <a:prstGeom xmlns:a="http://schemas.openxmlformats.org/drawingml/2006/main" prst="rect">
          <a:avLst/>
        </a:prstGeom>
      </cdr:spPr>
    </cdr:pic>
  </cdr:relSizeAnchor>
</c:userShapes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177800</xdr:colOff>
      <xdr:row>43</xdr:row>
      <xdr:rowOff>93436</xdr:rowOff>
    </xdr:from>
    <xdr:to>
      <xdr:col>31</xdr:col>
      <xdr:colOff>349250</xdr:colOff>
      <xdr:row>99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7.xml><?xml version="1.0" encoding="utf-8"?>
<c:userShapes xmlns:c="http://schemas.openxmlformats.org/drawingml/2006/chart">
  <cdr:relSizeAnchor xmlns:cdr="http://schemas.openxmlformats.org/drawingml/2006/chartDrawing">
    <cdr:from>
      <cdr:x>0.1055</cdr:x>
      <cdr:y>0.25107</cdr:y>
    </cdr:from>
    <cdr:to>
      <cdr:x>0.39032</cdr:x>
      <cdr:y>0.32711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505258" y="2683681"/>
          <a:ext cx="4064000" cy="812800"/>
        </a:xfrm>
        <a:prstGeom xmlns:a="http://schemas.openxmlformats.org/drawingml/2006/main" prst="rect">
          <a:avLst/>
        </a:prstGeom>
      </cdr:spPr>
    </cdr:pic>
  </cdr:relSizeAnchor>
</c:userShapes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481429</xdr:colOff>
      <xdr:row>23</xdr:row>
      <xdr:rowOff>50800</xdr:rowOff>
    </xdr:from>
    <xdr:to>
      <xdr:col>17</xdr:col>
      <xdr:colOff>635001</xdr:colOff>
      <xdr:row>88</xdr:row>
      <xdr:rowOff>12699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9.xml><?xml version="1.0" encoding="utf-8"?>
<c:userShapes xmlns:c="http://schemas.openxmlformats.org/drawingml/2006/chart">
  <cdr:relSizeAnchor xmlns:cdr="http://schemas.openxmlformats.org/drawingml/2006/chartDrawing">
    <cdr:from>
      <cdr:x>0</cdr:x>
      <cdr:y>0.96556</cdr:y>
    </cdr:from>
    <cdr:to>
      <cdr:x>0.61802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0325099"/>
          <a:ext cx="8814987" cy="36829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 i="1">
              <a:solidFill>
                <a:srgbClr val="000000"/>
              </a:solidFill>
            </a:rPr>
            <a:t>Source: BI Intelligence Estimates</a:t>
          </a:r>
        </a:p>
      </cdr:txBody>
    </cdr:sp>
  </cdr:relSizeAnchor>
  <cdr:relSizeAnchor xmlns:cdr="http://schemas.openxmlformats.org/drawingml/2006/chartDrawing">
    <cdr:from>
      <cdr:x>0.80463</cdr:x>
      <cdr:y>0.78788</cdr:y>
    </cdr:from>
    <cdr:to>
      <cdr:x>0.90754</cdr:x>
      <cdr:y>0.8249</cdr:y>
    </cdr:to>
    <cdr:sp macro="" textlink="">
      <cdr:nvSpPr>
        <cdr:cNvPr id="4" name="TextBox 3"/>
        <cdr:cNvSpPr txBox="1"/>
      </cdr:nvSpPr>
      <cdr:spPr bwMode="auto">
        <a:xfrm xmlns:a="http://schemas.openxmlformats.org/drawingml/2006/main">
          <a:off x="11476617" y="8425083"/>
          <a:ext cx="1467833" cy="39587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000" b="0">
              <a:solidFill>
                <a:srgbClr val="000000"/>
              </a:solidFill>
            </a:rPr>
            <a:t>Android</a:t>
          </a:r>
        </a:p>
      </cdr:txBody>
    </cdr:sp>
  </cdr:relSizeAnchor>
  <cdr:relSizeAnchor xmlns:cdr="http://schemas.openxmlformats.org/drawingml/2006/chartDrawing">
    <cdr:from>
      <cdr:x>0.12148</cdr:x>
      <cdr:y>0.12323</cdr:y>
    </cdr:from>
    <cdr:to>
      <cdr:x>0.40641</cdr:x>
      <cdr:y>0.19924</cdr:y>
    </cdr:to>
    <cdr:pic>
      <cdr:nvPicPr>
        <cdr:cNvPr id="1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732724" y="1317710"/>
          <a:ext cx="4064000" cy="8128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0.84151</cdr:x>
      <cdr:y>0.47743</cdr:y>
    </cdr:from>
    <cdr:to>
      <cdr:x>0.85397</cdr:x>
      <cdr:y>0.50475</cdr:y>
    </cdr:to>
    <cdr:cxnSp macro="">
      <cdr:nvCxnSpPr>
        <cdr:cNvPr id="11" name="Straight Connector 10"/>
        <cdr:cNvCxnSpPr/>
      </cdr:nvCxnSpPr>
      <cdr:spPr>
        <a:xfrm xmlns:a="http://schemas.openxmlformats.org/drawingml/2006/main">
          <a:off x="12002671" y="5105400"/>
          <a:ext cx="177800" cy="2921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000000"/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0.69815</cdr:x>
      <cdr:y>0.46556</cdr:y>
    </cdr:from>
    <cdr:to>
      <cdr:x>0.74804</cdr:x>
      <cdr:y>0.48124</cdr:y>
    </cdr:to>
    <cdr:cxnSp macro="">
      <cdr:nvCxnSpPr>
        <cdr:cNvPr id="12" name="Straight Connector 11"/>
        <cdr:cNvCxnSpPr/>
      </cdr:nvCxnSpPr>
      <cdr:spPr>
        <a:xfrm xmlns:a="http://schemas.openxmlformats.org/drawingml/2006/main">
          <a:off x="9957932" y="4978450"/>
          <a:ext cx="711594" cy="16767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000000"/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0.04912</cdr:x>
      <cdr:y>0.01572</cdr:y>
    </cdr:from>
    <cdr:to>
      <cdr:x>0.95282</cdr:x>
      <cdr:y>0.08369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00650" y="168177"/>
          <a:ext cx="12890419" cy="727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4000" b="1">
              <a:solidFill>
                <a:srgbClr val="000000"/>
              </a:solidFill>
            </a:rPr>
            <a:t>Demand For Phablets Is Skyrocketing In</a:t>
          </a:r>
          <a:r>
            <a:rPr lang="en-US" sz="4000" b="1" baseline="0">
              <a:solidFill>
                <a:srgbClr val="000000"/>
              </a:solidFill>
            </a:rPr>
            <a:t> </a:t>
          </a:r>
          <a:r>
            <a:rPr lang="en-US" sz="4000" b="1">
              <a:solidFill>
                <a:srgbClr val="000000"/>
              </a:solidFill>
            </a:rPr>
            <a:t>Asia</a:t>
          </a:r>
        </a:p>
      </cdr:txBody>
    </cdr:sp>
  </cdr:relSizeAnchor>
  <cdr:relSizeAnchor xmlns:cdr="http://schemas.openxmlformats.org/drawingml/2006/chartDrawing">
    <cdr:from>
      <cdr:x>0.11053</cdr:x>
      <cdr:y>0.28159</cdr:y>
    </cdr:from>
    <cdr:to>
      <cdr:x>0.37763</cdr:x>
      <cdr:y>0.35281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576559" y="3012451"/>
          <a:ext cx="38100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8</xdr:row>
      <xdr:rowOff>57150</xdr:rowOff>
    </xdr:from>
    <xdr:to>
      <xdr:col>17</xdr:col>
      <xdr:colOff>381000</xdr:colOff>
      <xdr:row>64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1.xml><?xml version="1.0" encoding="utf-8"?>
<c:userShapes xmlns:c="http://schemas.openxmlformats.org/drawingml/2006/chart">
  <cdr:relSizeAnchor xmlns:cdr="http://schemas.openxmlformats.org/drawingml/2006/chartDrawing">
    <cdr:from>
      <cdr:x>0.10151</cdr:x>
      <cdr:y>0.35803</cdr:y>
    </cdr:from>
    <cdr:to>
      <cdr:x>0.37811</cdr:x>
      <cdr:y>0.43151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447806" y="3835378"/>
          <a:ext cx="3944897" cy="787151"/>
        </a:xfrm>
        <a:prstGeom xmlns:a="http://schemas.openxmlformats.org/drawingml/2006/main" prst="rect">
          <a:avLst/>
        </a:prstGeom>
      </cdr:spPr>
    </cdr:pic>
  </cdr:relSizeAnchor>
</c:userShapes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25</xdr:row>
      <xdr:rowOff>38100</xdr:rowOff>
    </xdr:from>
    <xdr:to>
      <xdr:col>20</xdr:col>
      <xdr:colOff>292100</xdr:colOff>
      <xdr:row>95</xdr:row>
      <xdr:rowOff>63500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3.xml><?xml version="1.0" encoding="utf-8"?>
<c:userShapes xmlns:c="http://schemas.openxmlformats.org/drawingml/2006/chart">
  <cdr:relSizeAnchor xmlns:cdr="http://schemas.openxmlformats.org/drawingml/2006/chartDrawing">
    <cdr:from>
      <cdr:x>0.72313</cdr:x>
      <cdr:y>0.81166</cdr:y>
    </cdr:from>
    <cdr:to>
      <cdr:x>0.96368</cdr:x>
      <cdr:y>0.88246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308040" y="7862149"/>
          <a:ext cx="3429000" cy="685800"/>
        </a:xfrm>
        <a:prstGeom xmlns:a="http://schemas.openxmlformats.org/drawingml/2006/main" prst="rect">
          <a:avLst/>
        </a:prstGeom>
      </cdr:spPr>
    </cdr:pic>
  </cdr:relSizeAnchor>
</c:userShapes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20</xdr:row>
      <xdr:rowOff>31750</xdr:rowOff>
    </xdr:from>
    <xdr:to>
      <xdr:col>15</xdr:col>
      <xdr:colOff>38100</xdr:colOff>
      <xdr:row>76</xdr:row>
      <xdr:rowOff>50800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5.xml><?xml version="1.0" encoding="utf-8"?>
<c:userShapes xmlns:c="http://schemas.openxmlformats.org/drawingml/2006/chart">
  <cdr:relSizeAnchor xmlns:cdr="http://schemas.openxmlformats.org/drawingml/2006/chartDrawing">
    <cdr:from>
      <cdr:x>0.70227</cdr:x>
      <cdr:y>0.8473</cdr:y>
    </cdr:from>
    <cdr:to>
      <cdr:x>0.96929</cdr:x>
      <cdr:y>0.9186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020300" y="9055100"/>
          <a:ext cx="38100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730251</xdr:colOff>
      <xdr:row>42</xdr:row>
      <xdr:rowOff>158750</xdr:rowOff>
    </xdr:from>
    <xdr:to>
      <xdr:col>12</xdr:col>
      <xdr:colOff>965201</xdr:colOff>
      <xdr:row>100</xdr:row>
      <xdr:rowOff>63500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7.xml><?xml version="1.0" encoding="utf-8"?>
<c:userShapes xmlns:c="http://schemas.openxmlformats.org/drawingml/2006/chart">
  <cdr:relSizeAnchor xmlns:cdr="http://schemas.openxmlformats.org/drawingml/2006/chartDrawing">
    <cdr:from>
      <cdr:x>0.68404</cdr:x>
      <cdr:y>0.80113</cdr:y>
    </cdr:from>
    <cdr:to>
      <cdr:x>0.96912</cdr:x>
      <cdr:y>0.87704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9751484" y="8578695"/>
          <a:ext cx="4064000" cy="812800"/>
        </a:xfrm>
        <a:prstGeom xmlns:a="http://schemas.openxmlformats.org/drawingml/2006/main" prst="rect">
          <a:avLst/>
        </a:prstGeom>
      </cdr:spPr>
    </cdr:pic>
  </cdr:relSizeAnchor>
</c:userShapes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</xdr:colOff>
      <xdr:row>13</xdr:row>
      <xdr:rowOff>177800</xdr:rowOff>
    </xdr:from>
    <xdr:to>
      <xdr:col>7</xdr:col>
      <xdr:colOff>469900</xdr:colOff>
      <xdr:row>28</xdr:row>
      <xdr:rowOff>63500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546100</xdr:colOff>
      <xdr:row>33</xdr:row>
      <xdr:rowOff>14773</xdr:rowOff>
    </xdr:from>
    <xdr:to>
      <xdr:col>18</xdr:col>
      <xdr:colOff>586740</xdr:colOff>
      <xdr:row>90</xdr:row>
      <xdr:rowOff>189572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469900</xdr:colOff>
      <xdr:row>4</xdr:row>
      <xdr:rowOff>101600</xdr:rowOff>
    </xdr:from>
    <xdr:to>
      <xdr:col>16</xdr:col>
      <xdr:colOff>152400</xdr:colOff>
      <xdr:row>53</xdr:row>
      <xdr:rowOff>50800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0.xml><?xml version="1.0" encoding="utf-8"?>
<c:userShapes xmlns:c="http://schemas.openxmlformats.org/drawingml/2006/chart">
  <cdr:relSizeAnchor xmlns:cdr="http://schemas.openxmlformats.org/drawingml/2006/chartDrawing">
    <cdr:from>
      <cdr:x>0.0307</cdr:x>
      <cdr:y>0.13053</cdr:y>
    </cdr:from>
    <cdr:to>
      <cdr:x>0.36929</cdr:x>
      <cdr:y>0.22159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35176" y="1440207"/>
          <a:ext cx="4799764" cy="10046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0.95802</cdr:y>
    </cdr:from>
    <cdr:to>
      <cdr:x>0.33609</cdr:x>
      <cdr:y>0.99739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1074182"/>
          <a:ext cx="4812496" cy="45509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200" i="1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Source: developer.android.com</a:t>
          </a:r>
          <a:endParaRPr lang="en-US" sz="2200">
            <a:solidFill>
              <a:srgbClr val="000000"/>
            </a:solidFill>
            <a:effectLst/>
          </a:endParaRPr>
        </a:p>
      </cdr:txBody>
    </cdr:sp>
  </cdr:relSizeAnchor>
</c:userShapes>
</file>

<file path=xl/drawings/drawing9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76200</xdr:colOff>
      <xdr:row>24</xdr:row>
      <xdr:rowOff>152400</xdr:rowOff>
    </xdr:from>
    <xdr:to>
      <xdr:col>52</xdr:col>
      <xdr:colOff>304800</xdr:colOff>
      <xdr:row>80</xdr:row>
      <xdr:rowOff>177800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2.xml><?xml version="1.0" encoding="utf-8"?>
<c:userShapes xmlns:c="http://schemas.openxmlformats.org/drawingml/2006/chart">
  <cdr:relSizeAnchor xmlns:cdr="http://schemas.openxmlformats.org/drawingml/2006/chartDrawing">
    <cdr:from>
      <cdr:x>0.68032</cdr:x>
      <cdr:y>0.80048</cdr:y>
    </cdr:from>
    <cdr:to>
      <cdr:x>0.97418</cdr:x>
      <cdr:y>0.87886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9702800" y="8559800"/>
          <a:ext cx="4191041" cy="838178"/>
        </a:xfrm>
        <a:prstGeom xmlns:a="http://schemas.openxmlformats.org/drawingml/2006/main" prst="rect">
          <a:avLst/>
        </a:prstGeom>
      </cdr:spPr>
    </cdr:pic>
  </cdr:relSizeAnchor>
</c:userShapes>
</file>

<file path=xl/drawings/drawing9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603250</xdr:colOff>
      <xdr:row>2</xdr:row>
      <xdr:rowOff>50800</xdr:rowOff>
    </xdr:from>
    <xdr:to>
      <xdr:col>27</xdr:col>
      <xdr:colOff>8890</xdr:colOff>
      <xdr:row>58</xdr:row>
      <xdr:rowOff>81280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330200</xdr:colOff>
      <xdr:row>63</xdr:row>
      <xdr:rowOff>31750</xdr:rowOff>
    </xdr:from>
    <xdr:to>
      <xdr:col>28</xdr:col>
      <xdr:colOff>561340</xdr:colOff>
      <xdr:row>119</xdr:row>
      <xdr:rowOff>62230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4.xml><?xml version="1.0" encoding="utf-8"?>
<c:userShapes xmlns:c="http://schemas.openxmlformats.org/drawingml/2006/chart">
  <cdr:relSizeAnchor xmlns:cdr="http://schemas.openxmlformats.org/drawingml/2006/chartDrawing">
    <cdr:from>
      <cdr:x>0.75292</cdr:x>
      <cdr:y>0.80779</cdr:y>
    </cdr:from>
    <cdr:to>
      <cdr:x>0.95769</cdr:x>
      <cdr:y>0.8624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740132" y="8642125"/>
          <a:ext cx="2921000" cy="584200"/>
        </a:xfrm>
        <a:prstGeom xmlns:a="http://schemas.openxmlformats.org/drawingml/2006/main" prst="rect">
          <a:avLst/>
        </a:prstGeom>
      </cdr:spPr>
    </cdr:pic>
  </cdr:relSizeAnchor>
</c:userShapes>
</file>

<file path=xl/drawings/drawing95.xml><?xml version="1.0" encoding="utf-8"?>
<c:userShapes xmlns:c="http://schemas.openxmlformats.org/drawingml/2006/chart">
  <cdr:relSizeAnchor xmlns:cdr="http://schemas.openxmlformats.org/drawingml/2006/chartDrawing">
    <cdr:from>
      <cdr:x>0.70958</cdr:x>
      <cdr:y>0.82146</cdr:y>
    </cdr:from>
    <cdr:to>
      <cdr:x>0.91435</cdr:x>
      <cdr:y>0.87607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121900" y="8788400"/>
          <a:ext cx="2921000" cy="584200"/>
        </a:xfrm>
        <a:prstGeom xmlns:a="http://schemas.openxmlformats.org/drawingml/2006/main" prst="rect">
          <a:avLst/>
        </a:prstGeom>
      </cdr:spPr>
    </cdr:pic>
  </cdr:relSizeAnchor>
</c:userShapes>
</file>

<file path=xl/drawings/drawing9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711200</xdr:colOff>
      <xdr:row>33</xdr:row>
      <xdr:rowOff>115012</xdr:rowOff>
    </xdr:from>
    <xdr:to>
      <xdr:col>18</xdr:col>
      <xdr:colOff>330200</xdr:colOff>
      <xdr:row>88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7.xml><?xml version="1.0" encoding="utf-8"?>
<c:userShapes xmlns:c="http://schemas.openxmlformats.org/drawingml/2006/chart">
  <cdr:relSizeAnchor xmlns:cdr="http://schemas.openxmlformats.org/drawingml/2006/chartDrawing">
    <cdr:from>
      <cdr:x>0.66476</cdr:x>
      <cdr:y>0.82633</cdr:y>
    </cdr:from>
    <cdr:to>
      <cdr:x>0.95888</cdr:x>
      <cdr:y>0.90472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9480833" y="8562806"/>
          <a:ext cx="4194769" cy="812315"/>
        </a:xfrm>
        <a:prstGeom xmlns:a="http://schemas.openxmlformats.org/drawingml/2006/main" prst="rect">
          <a:avLst/>
        </a:prstGeom>
      </cdr:spPr>
    </cdr:pic>
  </cdr:relSizeAnchor>
</c:userShapes>
</file>

<file path=xl/drawings/drawing9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774700</xdr:colOff>
      <xdr:row>11</xdr:row>
      <xdr:rowOff>50800</xdr:rowOff>
    </xdr:from>
    <xdr:to>
      <xdr:col>15</xdr:col>
      <xdr:colOff>241300</xdr:colOff>
      <xdr:row>58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9.xml><?xml version="1.0" encoding="utf-8"?>
<c:userShapes xmlns:c="http://schemas.openxmlformats.org/drawingml/2006/chart">
  <cdr:relSizeAnchor xmlns:cdr="http://schemas.openxmlformats.org/drawingml/2006/chartDrawing">
    <cdr:from>
      <cdr:x>0.63402</cdr:x>
      <cdr:y>0.17588</cdr:y>
    </cdr:from>
    <cdr:to>
      <cdr:x>0.91006</cdr:x>
      <cdr:y>0.24955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9042400" y="1879600"/>
          <a:ext cx="3937000" cy="7874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8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0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2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4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6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8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9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3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8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0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9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3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5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7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9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1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3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9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topLeftCell="A20" workbookViewId="0"/>
  </sheetViews>
  <sheetFormatPr baseColWidth="10" defaultRowHeight="15" x14ac:dyDescent="0"/>
  <cols>
    <col min="1" max="1" width="10.83203125" style="1"/>
    <col min="2" max="10" width="11.33203125" style="1" bestFit="1" customWidth="1"/>
    <col min="11" max="12" width="14.1640625" style="1" bestFit="1" customWidth="1"/>
    <col min="13" max="13" width="15.1640625" style="1" bestFit="1" customWidth="1"/>
    <col min="14" max="15" width="14.1640625" style="1" bestFit="1" customWidth="1"/>
    <col min="16" max="16384" width="10.83203125" style="1"/>
  </cols>
  <sheetData>
    <row r="1" spans="1:15">
      <c r="B1" s="1">
        <v>2000</v>
      </c>
      <c r="C1" s="1">
        <v>2001</v>
      </c>
      <c r="D1" s="1">
        <v>2002</v>
      </c>
      <c r="E1" s="1">
        <v>2003</v>
      </c>
      <c r="F1" s="1">
        <v>2004</v>
      </c>
      <c r="G1" s="1">
        <v>2005</v>
      </c>
      <c r="H1" s="1">
        <v>2006</v>
      </c>
      <c r="I1" s="1">
        <v>2007</v>
      </c>
      <c r="J1" s="1">
        <v>2008</v>
      </c>
      <c r="K1" s="1">
        <v>2009</v>
      </c>
      <c r="L1" s="1">
        <v>2010</v>
      </c>
      <c r="M1" s="1">
        <v>2011</v>
      </c>
      <c r="N1" s="1">
        <v>2012</v>
      </c>
      <c r="O1" s="1">
        <v>2013</v>
      </c>
    </row>
    <row r="2" spans="1:15">
      <c r="A2" s="1" t="s">
        <v>4</v>
      </c>
      <c r="B2" s="2">
        <v>140200000</v>
      </c>
      <c r="C2" s="2">
        <v>125000000</v>
      </c>
      <c r="D2" s="2">
        <v>136700000</v>
      </c>
      <c r="E2" s="2">
        <v>152600000</v>
      </c>
      <c r="F2" s="2">
        <v>183000000</v>
      </c>
      <c r="G2" s="2">
        <v>218626000</v>
      </c>
      <c r="H2" s="2">
        <v>239211000</v>
      </c>
      <c r="I2" s="2">
        <v>272452500</v>
      </c>
      <c r="J2" s="2">
        <v>290797600</v>
      </c>
      <c r="K2" s="2">
        <v>308341673</v>
      </c>
      <c r="L2" s="2">
        <v>350904121</v>
      </c>
      <c r="M2" s="2">
        <v>364000000</v>
      </c>
      <c r="N2" s="2">
        <v>352876123</v>
      </c>
      <c r="O2" s="2">
        <v>317000000</v>
      </c>
    </row>
    <row r="3" spans="1:15">
      <c r="A3" s="1" t="s">
        <v>3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75000000</v>
      </c>
      <c r="I3" s="2">
        <v>120000000</v>
      </c>
      <c r="J3" s="2">
        <v>140000000</v>
      </c>
      <c r="K3" s="2">
        <v>175000000</v>
      </c>
      <c r="L3" s="2">
        <v>300000000</v>
      </c>
      <c r="M3" s="2">
        <v>472000000</v>
      </c>
      <c r="N3" s="2">
        <v>674918800</v>
      </c>
      <c r="O3" s="2">
        <v>985000000</v>
      </c>
    </row>
    <row r="4" spans="1:15">
      <c r="A4" s="1" t="s">
        <v>2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29124000</v>
      </c>
      <c r="M4" s="2">
        <v>87000000</v>
      </c>
      <c r="N4" s="2">
        <v>121079177</v>
      </c>
      <c r="O4" s="2">
        <v>227800000</v>
      </c>
    </row>
    <row r="5" spans="1:15">
      <c r="A5" s="1" t="s">
        <v>1</v>
      </c>
      <c r="K5" s="3">
        <v>18000000</v>
      </c>
      <c r="L5" s="3">
        <v>42000000</v>
      </c>
      <c r="M5" s="3">
        <f>N5/(1+0.27)</f>
        <v>51968503.937007874</v>
      </c>
      <c r="N5" s="2">
        <v>66000000</v>
      </c>
      <c r="O5" s="2">
        <v>105000000</v>
      </c>
    </row>
    <row r="6" spans="1:15">
      <c r="A6" s="1" t="s">
        <v>0</v>
      </c>
      <c r="L6" s="3">
        <v>150000</v>
      </c>
      <c r="M6" s="3">
        <v>15000000</v>
      </c>
      <c r="N6" s="4">
        <v>30000000</v>
      </c>
      <c r="O6" s="3">
        <v>60000000</v>
      </c>
    </row>
    <row r="7" spans="1:15">
      <c r="M7" s="2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0"/>
  <sheetViews>
    <sheetView topLeftCell="A3" workbookViewId="0">
      <selection activeCell="A13" sqref="A13:XFD13"/>
    </sheetView>
  </sheetViews>
  <sheetFormatPr baseColWidth="10" defaultRowHeight="15" x14ac:dyDescent="0"/>
  <sheetData>
    <row r="3" spans="2:7">
      <c r="B3" t="s">
        <v>134</v>
      </c>
      <c r="C3" t="s">
        <v>150</v>
      </c>
    </row>
    <row r="4" spans="2:7">
      <c r="B4" t="s">
        <v>143</v>
      </c>
      <c r="C4" t="s">
        <v>149</v>
      </c>
    </row>
    <row r="6" spans="2:7">
      <c r="C6">
        <v>2009</v>
      </c>
      <c r="D6">
        <v>2010</v>
      </c>
      <c r="E6">
        <v>2011</v>
      </c>
      <c r="F6">
        <v>2012</v>
      </c>
      <c r="G6">
        <v>2013</v>
      </c>
    </row>
    <row r="7" spans="2:7">
      <c r="B7" t="s">
        <v>138</v>
      </c>
      <c r="C7" s="17">
        <v>0.45</v>
      </c>
      <c r="D7" s="17">
        <v>0.44</v>
      </c>
      <c r="E7" s="17">
        <v>0.43</v>
      </c>
      <c r="F7" s="17">
        <v>0.42</v>
      </c>
      <c r="G7" s="16">
        <f>271/G20</f>
        <v>0.3806179775280899</v>
      </c>
    </row>
    <row r="8" spans="2:7">
      <c r="B8" t="s">
        <v>148</v>
      </c>
      <c r="C8" s="17">
        <v>0.25</v>
      </c>
      <c r="D8" s="17">
        <v>0.26</v>
      </c>
      <c r="E8" s="17">
        <v>0.26</v>
      </c>
      <c r="F8" s="17">
        <v>0.26</v>
      </c>
      <c r="G8" s="16">
        <f>139/G20</f>
        <v>0.1952247191011236</v>
      </c>
    </row>
    <row r="9" spans="2:7">
      <c r="B9" t="s">
        <v>147</v>
      </c>
      <c r="C9" s="17">
        <v>0.17</v>
      </c>
      <c r="D9" s="17">
        <v>0.16</v>
      </c>
      <c r="E9" s="17">
        <v>0.15</v>
      </c>
      <c r="F9" s="17">
        <v>0.14000000000000001</v>
      </c>
      <c r="G9" s="16">
        <f>86/G20</f>
        <v>0.12078651685393259</v>
      </c>
    </row>
    <row r="10" spans="2:7">
      <c r="B10" t="s">
        <v>145</v>
      </c>
      <c r="C10" s="17">
        <v>0.09</v>
      </c>
      <c r="D10" s="17">
        <v>0.08</v>
      </c>
      <c r="E10" s="17">
        <v>7.0000000000000007E-2</v>
      </c>
      <c r="F10" s="17">
        <v>0.06</v>
      </c>
      <c r="G10" s="16">
        <f>32/G20</f>
        <v>4.49438202247191E-2</v>
      </c>
    </row>
    <row r="11" spans="2:7">
      <c r="B11" t="s">
        <v>39</v>
      </c>
      <c r="C11" s="17">
        <v>7.0000000000000007E-2</v>
      </c>
      <c r="D11" s="17">
        <v>0.08</v>
      </c>
      <c r="E11" s="17">
        <v>7.0000000000000007E-2</v>
      </c>
      <c r="F11" s="17">
        <v>0.05</v>
      </c>
      <c r="G11" s="16">
        <f>36/G20</f>
        <v>5.0561797752808987E-2</v>
      </c>
    </row>
    <row r="12" spans="2:7">
      <c r="B12" t="s">
        <v>146</v>
      </c>
      <c r="C12" s="17">
        <v>0.04</v>
      </c>
      <c r="D12" s="17">
        <v>0.06</v>
      </c>
      <c r="E12" s="17">
        <v>0.09</v>
      </c>
      <c r="F12" s="17">
        <v>0.12</v>
      </c>
      <c r="G12" s="16">
        <f>141/G20</f>
        <v>0.19803370786516855</v>
      </c>
    </row>
    <row r="13" spans="2:7">
      <c r="C13" s="17"/>
      <c r="D13" s="17"/>
      <c r="E13" s="17"/>
      <c r="F13" s="17"/>
      <c r="G13" s="16"/>
    </row>
    <row r="14" spans="2:7">
      <c r="B14" t="s">
        <v>138</v>
      </c>
      <c r="C14">
        <v>267</v>
      </c>
      <c r="D14">
        <v>264</v>
      </c>
      <c r="E14">
        <v>274</v>
      </c>
      <c r="F14">
        <v>278</v>
      </c>
    </row>
    <row r="15" spans="2:7">
      <c r="B15" t="s">
        <v>148</v>
      </c>
      <c r="C15">
        <v>146</v>
      </c>
      <c r="D15">
        <v>155</v>
      </c>
      <c r="E15">
        <v>167</v>
      </c>
      <c r="F15">
        <v>173</v>
      </c>
    </row>
    <row r="16" spans="2:7">
      <c r="B16" t="s">
        <v>147</v>
      </c>
      <c r="C16">
        <v>98</v>
      </c>
      <c r="D16">
        <v>96</v>
      </c>
      <c r="E16">
        <v>94</v>
      </c>
      <c r="F16">
        <v>92</v>
      </c>
    </row>
    <row r="17" spans="2:7">
      <c r="B17" t="s">
        <v>146</v>
      </c>
      <c r="C17">
        <v>22</v>
      </c>
      <c r="D17">
        <v>34</v>
      </c>
      <c r="E17">
        <v>54</v>
      </c>
      <c r="F17">
        <v>82</v>
      </c>
    </row>
    <row r="18" spans="2:7">
      <c r="B18" t="s">
        <v>145</v>
      </c>
      <c r="C18">
        <v>55</v>
      </c>
      <c r="D18">
        <v>50</v>
      </c>
      <c r="E18">
        <v>44</v>
      </c>
      <c r="F18">
        <v>38</v>
      </c>
    </row>
    <row r="19" spans="2:7">
      <c r="B19" t="s">
        <v>39</v>
      </c>
      <c r="C19">
        <v>44</v>
      </c>
      <c r="D19">
        <v>47</v>
      </c>
      <c r="E19">
        <v>45</v>
      </c>
      <c r="F19">
        <v>36</v>
      </c>
    </row>
    <row r="20" spans="2:7">
      <c r="C20">
        <v>588</v>
      </c>
      <c r="D20">
        <v>599</v>
      </c>
      <c r="E20">
        <v>633</v>
      </c>
      <c r="F20">
        <v>663</v>
      </c>
      <c r="G20">
        <v>712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K13"/>
  <sheetViews>
    <sheetView topLeftCell="A25" workbookViewId="0"/>
  </sheetViews>
  <sheetFormatPr baseColWidth="10" defaultRowHeight="15" x14ac:dyDescent="0"/>
  <cols>
    <col min="1" max="1" width="9.6640625" style="1" bestFit="1" customWidth="1"/>
    <col min="2" max="2" width="13.1640625" style="1" bestFit="1" customWidth="1"/>
    <col min="3" max="3" width="10.33203125" style="1" bestFit="1" customWidth="1"/>
    <col min="4" max="9" width="11.83203125" style="1" bestFit="1" customWidth="1"/>
    <col min="10" max="10" width="13.1640625" style="1" bestFit="1" customWidth="1"/>
    <col min="11" max="13" width="11.83203125" style="1" bestFit="1" customWidth="1"/>
    <col min="14" max="15" width="12.83203125" style="1" bestFit="1" customWidth="1"/>
    <col min="16" max="16" width="14.1640625" style="1" bestFit="1" customWidth="1"/>
    <col min="17" max="19" width="12.83203125" style="1" bestFit="1" customWidth="1"/>
    <col min="20" max="20" width="16.33203125" style="1" bestFit="1" customWidth="1"/>
    <col min="21" max="25" width="12.83203125" style="1" bestFit="1" customWidth="1"/>
    <col min="26" max="26" width="15.1640625" style="1" bestFit="1" customWidth="1"/>
    <col min="27" max="28" width="12.83203125" style="1" bestFit="1" customWidth="1"/>
    <col min="29" max="29" width="11" style="1" bestFit="1" customWidth="1"/>
    <col min="30" max="31" width="11.83203125" style="1" bestFit="1" customWidth="1"/>
    <col min="32" max="32" width="15.1640625" style="1" bestFit="1" customWidth="1"/>
    <col min="33" max="33" width="11.83203125" style="1" bestFit="1" customWidth="1"/>
    <col min="34" max="34" width="15.1640625" style="1" bestFit="1" customWidth="1"/>
    <col min="35" max="35" width="11.83203125" style="1" bestFit="1" customWidth="1"/>
    <col min="36" max="37" width="15.1640625" style="1" bestFit="1" customWidth="1"/>
    <col min="38" max="16384" width="10.83203125" style="1"/>
  </cols>
  <sheetData>
    <row r="3" spans="1:37">
      <c r="G3" s="18">
        <v>41365</v>
      </c>
      <c r="H3" s="18">
        <v>41426</v>
      </c>
      <c r="I3" s="18">
        <v>41487</v>
      </c>
      <c r="J3" s="18">
        <v>41548</v>
      </c>
    </row>
    <row r="4" spans="1:37">
      <c r="G4" s="1">
        <v>200</v>
      </c>
      <c r="H4" s="1">
        <v>250</v>
      </c>
      <c r="I4" s="1">
        <v>300</v>
      </c>
      <c r="J4" s="1">
        <v>350</v>
      </c>
    </row>
    <row r="5" spans="1:37">
      <c r="A5" s="1" t="s">
        <v>151</v>
      </c>
    </row>
    <row r="6" spans="1:37">
      <c r="A6" s="1" t="s">
        <v>152</v>
      </c>
    </row>
    <row r="8" spans="1:37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</row>
    <row r="9" spans="1:37">
      <c r="B9" s="20">
        <v>40452</v>
      </c>
      <c r="C9" s="20">
        <v>40483</v>
      </c>
      <c r="D9" s="20">
        <v>40513</v>
      </c>
      <c r="E9" s="20">
        <v>40544</v>
      </c>
      <c r="F9" s="20">
        <v>40575</v>
      </c>
      <c r="G9" s="20">
        <v>40603</v>
      </c>
      <c r="H9" s="20">
        <v>40634</v>
      </c>
      <c r="I9" s="20">
        <v>40664</v>
      </c>
      <c r="J9" s="20">
        <v>40695</v>
      </c>
      <c r="K9" s="20">
        <v>40725</v>
      </c>
      <c r="L9" s="20">
        <v>40756</v>
      </c>
      <c r="M9" s="20">
        <v>40787</v>
      </c>
      <c r="N9" s="20">
        <v>40817</v>
      </c>
      <c r="O9" s="20">
        <v>40848</v>
      </c>
      <c r="P9" s="20">
        <v>40878</v>
      </c>
      <c r="Q9" s="20">
        <v>40909</v>
      </c>
      <c r="R9" s="20">
        <v>40940</v>
      </c>
      <c r="S9" s="20">
        <v>40969</v>
      </c>
      <c r="T9" s="20">
        <v>41000</v>
      </c>
      <c r="U9" s="20">
        <v>41030</v>
      </c>
      <c r="V9" s="20">
        <v>41061</v>
      </c>
      <c r="W9" s="20">
        <v>41091</v>
      </c>
      <c r="X9" s="20">
        <v>41122</v>
      </c>
      <c r="Y9" s="20">
        <v>41153</v>
      </c>
      <c r="Z9" s="20">
        <v>41183</v>
      </c>
      <c r="AA9" s="20">
        <v>41214</v>
      </c>
      <c r="AB9" s="20">
        <v>41244</v>
      </c>
      <c r="AC9" s="20">
        <v>41275</v>
      </c>
      <c r="AD9" s="20">
        <v>41306</v>
      </c>
      <c r="AE9" s="20">
        <v>41334</v>
      </c>
      <c r="AF9" s="20">
        <v>41365</v>
      </c>
      <c r="AG9" s="20">
        <v>41395</v>
      </c>
      <c r="AH9" s="20">
        <v>41426</v>
      </c>
      <c r="AI9" s="20">
        <v>41456</v>
      </c>
      <c r="AJ9" s="20">
        <v>41487</v>
      </c>
      <c r="AK9" s="20">
        <v>41518</v>
      </c>
    </row>
    <row r="10" spans="1:37">
      <c r="A10" s="1" t="s">
        <v>152</v>
      </c>
      <c r="B10" s="2">
        <v>333333</v>
      </c>
      <c r="C10" s="2">
        <f>B10+333333</f>
        <v>666666</v>
      </c>
      <c r="D10" s="2">
        <v>1000000</v>
      </c>
      <c r="E10" s="2">
        <f>D10+583333</f>
        <v>1583333</v>
      </c>
      <c r="F10" s="2">
        <f t="shared" ref="F10:I10" si="0">E10+583333</f>
        <v>2166666</v>
      </c>
      <c r="G10" s="2">
        <f t="shared" si="0"/>
        <v>2749999</v>
      </c>
      <c r="H10" s="2">
        <f t="shared" si="0"/>
        <v>3333332</v>
      </c>
      <c r="I10" s="2">
        <f t="shared" si="0"/>
        <v>3916665</v>
      </c>
      <c r="J10" s="2">
        <v>4500000</v>
      </c>
      <c r="K10" s="2">
        <f>J10+1500000</f>
        <v>6000000</v>
      </c>
      <c r="L10" s="2">
        <f>K10+1500000</f>
        <v>7500000</v>
      </c>
      <c r="M10" s="2">
        <v>9000000</v>
      </c>
      <c r="N10" s="2">
        <f>M10+2571422</f>
        <v>11571422</v>
      </c>
      <c r="O10" s="2">
        <f t="shared" ref="O10:S10" si="1">N10+2571422</f>
        <v>14142844</v>
      </c>
      <c r="P10" s="2">
        <f t="shared" si="1"/>
        <v>16714266</v>
      </c>
      <c r="Q10" s="2">
        <f t="shared" si="1"/>
        <v>19285688</v>
      </c>
      <c r="R10" s="2">
        <f t="shared" si="1"/>
        <v>21857110</v>
      </c>
      <c r="S10" s="2">
        <f t="shared" si="1"/>
        <v>24428532</v>
      </c>
      <c r="T10" s="2">
        <v>35250000</v>
      </c>
      <c r="U10" s="2">
        <f t="shared" ref="U10:V10" si="2">T10+8250000</f>
        <v>43500000</v>
      </c>
      <c r="V10" s="2">
        <f t="shared" si="2"/>
        <v>51750000</v>
      </c>
      <c r="W10" s="2">
        <v>60000000</v>
      </c>
      <c r="X10" s="2">
        <v>70000000</v>
      </c>
      <c r="Y10" s="2">
        <v>80000000</v>
      </c>
      <c r="Z10" s="2">
        <f>Y10+2500000</f>
        <v>82500000</v>
      </c>
      <c r="AA10" s="2">
        <f t="shared" ref="AA10:AB10" si="3">Z10+2500000</f>
        <v>85000000</v>
      </c>
      <c r="AB10" s="2">
        <f t="shared" si="3"/>
        <v>87500000</v>
      </c>
      <c r="AC10" s="21">
        <v>90000000</v>
      </c>
      <c r="AD10" s="21">
        <v>100000000</v>
      </c>
      <c r="AE10" s="21">
        <f>AD10+6000000</f>
        <v>106000000</v>
      </c>
      <c r="AF10" s="21">
        <f t="shared" ref="AF10:AG10" si="4">AE10+6000000</f>
        <v>112000000</v>
      </c>
      <c r="AG10" s="21">
        <f t="shared" si="4"/>
        <v>118000000</v>
      </c>
      <c r="AH10" s="21">
        <v>130000000</v>
      </c>
      <c r="AI10" s="21">
        <f>AH10+6666666</f>
        <v>136666666</v>
      </c>
      <c r="AJ10" s="21">
        <f>AI10+6666666</f>
        <v>143333332</v>
      </c>
      <c r="AK10" s="21">
        <v>150000000</v>
      </c>
    </row>
    <row r="11" spans="1:37">
      <c r="A11" s="1" t="s">
        <v>151</v>
      </c>
      <c r="B11" s="3">
        <v>10000000</v>
      </c>
      <c r="J11" s="3"/>
      <c r="P11" s="3">
        <v>50000000</v>
      </c>
      <c r="Z11" s="3">
        <v>100000000</v>
      </c>
      <c r="AF11" s="3">
        <v>200000000</v>
      </c>
      <c r="AG11" s="3"/>
      <c r="AH11" s="3">
        <v>250000000</v>
      </c>
      <c r="AI11" s="3"/>
      <c r="AJ11" s="3">
        <v>300000000</v>
      </c>
      <c r="AK11" s="3">
        <v>350000000</v>
      </c>
    </row>
    <row r="12" spans="1:37">
      <c r="AA12" s="1">
        <v>2000000</v>
      </c>
      <c r="AC12" s="1">
        <v>4121000</v>
      </c>
      <c r="AD12" s="1">
        <v>7800000</v>
      </c>
      <c r="AE12" s="1">
        <v>11000000</v>
      </c>
      <c r="AF12" s="1">
        <v>14500000</v>
      </c>
      <c r="AG12" s="1">
        <v>16000000</v>
      </c>
      <c r="AH12" s="1">
        <v>17500000</v>
      </c>
      <c r="AI12" s="1">
        <v>19000000</v>
      </c>
      <c r="AJ12" s="1">
        <v>21000000</v>
      </c>
      <c r="AK12" s="1">
        <v>23000000</v>
      </c>
    </row>
    <row r="13" spans="1:37">
      <c r="AC13" s="22"/>
      <c r="AD13" s="22"/>
      <c r="AE13" s="22"/>
      <c r="AF13" s="22"/>
      <c r="AG13" s="22"/>
      <c r="AH13" s="22"/>
      <c r="AI13" s="22"/>
      <c r="AJ13" s="22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sqref="A1:XFD1048576"/>
    </sheetView>
  </sheetViews>
  <sheetFormatPr baseColWidth="10" defaultRowHeight="15" x14ac:dyDescent="0"/>
  <cols>
    <col min="1" max="16384" width="10.83203125" style="1"/>
  </cols>
  <sheetData>
    <row r="1" spans="1:4">
      <c r="A1" s="1" t="s">
        <v>153</v>
      </c>
    </row>
    <row r="2" spans="1:4">
      <c r="B2" s="1" t="s">
        <v>154</v>
      </c>
      <c r="C2" s="1" t="s">
        <v>155</v>
      </c>
      <c r="D2" s="1" t="s">
        <v>156</v>
      </c>
    </row>
    <row r="3" spans="1:4">
      <c r="A3" s="18">
        <v>41365</v>
      </c>
      <c r="B3" s="1">
        <v>8</v>
      </c>
      <c r="C3" s="1">
        <v>12</v>
      </c>
      <c r="D3" s="1">
        <v>200</v>
      </c>
    </row>
    <row r="4" spans="1:4">
      <c r="A4" s="18">
        <v>41426</v>
      </c>
      <c r="B4" s="1">
        <v>10</v>
      </c>
      <c r="C4" s="1">
        <v>17</v>
      </c>
      <c r="D4" s="1">
        <v>250</v>
      </c>
    </row>
    <row r="5" spans="1:4">
      <c r="A5" s="18">
        <v>41487</v>
      </c>
      <c r="B5" s="1">
        <v>11</v>
      </c>
      <c r="C5" s="1">
        <v>20</v>
      </c>
      <c r="D5" s="1">
        <v>300</v>
      </c>
    </row>
    <row r="6" spans="1:4">
      <c r="A6" s="18">
        <v>41609</v>
      </c>
      <c r="B6" s="1">
        <v>16</v>
      </c>
      <c r="C6" s="1">
        <v>32</v>
      </c>
      <c r="D6" s="1">
        <v>400</v>
      </c>
    </row>
    <row r="7" spans="1:4">
      <c r="A7" s="18">
        <v>41671</v>
      </c>
      <c r="B7" s="1">
        <v>19</v>
      </c>
      <c r="C7" s="1">
        <v>36</v>
      </c>
      <c r="D7" s="1">
        <v>450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"/>
  <sheetViews>
    <sheetView topLeftCell="A2" workbookViewId="0">
      <selection activeCell="F6" sqref="F6"/>
    </sheetView>
  </sheetViews>
  <sheetFormatPr baseColWidth="10" defaultRowHeight="15" x14ac:dyDescent="0"/>
  <sheetData>
    <row r="2" spans="1:16">
      <c r="A2" s="23" t="s">
        <v>157</v>
      </c>
    </row>
    <row r="4" spans="1:16">
      <c r="B4" s="24">
        <v>40452</v>
      </c>
      <c r="C4" s="24">
        <v>40878</v>
      </c>
      <c r="D4" s="24">
        <v>41091</v>
      </c>
      <c r="E4" s="24">
        <v>41183</v>
      </c>
      <c r="F4" s="24">
        <v>41275</v>
      </c>
      <c r="G4" s="24">
        <v>41334</v>
      </c>
      <c r="H4" s="24">
        <v>41365</v>
      </c>
      <c r="I4" s="24">
        <v>41426</v>
      </c>
      <c r="J4" s="24">
        <v>41456</v>
      </c>
      <c r="K4" s="24">
        <v>41487</v>
      </c>
      <c r="L4" s="24">
        <v>41518</v>
      </c>
      <c r="M4" s="24">
        <v>41548</v>
      </c>
      <c r="N4" s="25">
        <v>41591</v>
      </c>
      <c r="O4" s="25">
        <v>41621</v>
      </c>
      <c r="P4" s="25">
        <v>41652</v>
      </c>
    </row>
    <row r="5" spans="1:16">
      <c r="A5" t="s">
        <v>158</v>
      </c>
      <c r="C5">
        <v>0</v>
      </c>
      <c r="D5">
        <v>31</v>
      </c>
      <c r="E5">
        <v>47</v>
      </c>
      <c r="F5">
        <v>62</v>
      </c>
      <c r="G5">
        <v>78</v>
      </c>
      <c r="H5">
        <v>93</v>
      </c>
      <c r="I5">
        <v>109</v>
      </c>
      <c r="J5">
        <v>124</v>
      </c>
      <c r="K5">
        <v>141</v>
      </c>
      <c r="L5">
        <v>157</v>
      </c>
      <c r="M5">
        <v>173</v>
      </c>
      <c r="N5">
        <v>186</v>
      </c>
      <c r="O5">
        <v>194</v>
      </c>
      <c r="P5">
        <v>202</v>
      </c>
    </row>
    <row r="6" spans="1:16">
      <c r="A6" t="s">
        <v>151</v>
      </c>
      <c r="B6">
        <v>10</v>
      </c>
      <c r="C6">
        <v>50</v>
      </c>
      <c r="D6">
        <v>75</v>
      </c>
      <c r="E6">
        <v>100</v>
      </c>
      <c r="F6">
        <v>133</v>
      </c>
      <c r="G6" s="1">
        <v>166</v>
      </c>
      <c r="H6" s="1">
        <v>200</v>
      </c>
      <c r="I6" s="1">
        <v>250</v>
      </c>
      <c r="J6" s="1">
        <v>275</v>
      </c>
      <c r="K6" s="1">
        <v>300</v>
      </c>
      <c r="L6" s="1">
        <v>350</v>
      </c>
      <c r="M6" s="1">
        <v>375</v>
      </c>
      <c r="N6" s="1">
        <v>400</v>
      </c>
      <c r="O6" s="1">
        <v>415</v>
      </c>
      <c r="P6">
        <v>430</v>
      </c>
    </row>
    <row r="7" spans="1:16">
      <c r="A7" t="s">
        <v>159</v>
      </c>
      <c r="B7">
        <v>0</v>
      </c>
      <c r="C7">
        <v>50</v>
      </c>
      <c r="D7">
        <v>85</v>
      </c>
      <c r="E7">
        <v>121</v>
      </c>
      <c r="F7">
        <v>158</v>
      </c>
      <c r="G7" s="26">
        <v>194</v>
      </c>
      <c r="H7" s="1">
        <v>215</v>
      </c>
      <c r="I7">
        <v>236</v>
      </c>
      <c r="J7" s="1">
        <v>248</v>
      </c>
      <c r="K7" s="1">
        <v>260</v>
      </c>
      <c r="L7">
        <v>272</v>
      </c>
      <c r="M7" s="1">
        <v>285</v>
      </c>
      <c r="N7" s="1">
        <v>297</v>
      </c>
      <c r="O7" s="1">
        <v>310</v>
      </c>
      <c r="P7" s="1">
        <v>324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4" workbookViewId="0">
      <selection activeCell="G5" sqref="G5"/>
    </sheetView>
  </sheetViews>
  <sheetFormatPr baseColWidth="10" defaultRowHeight="15" x14ac:dyDescent="0"/>
  <cols>
    <col min="1" max="1" width="10" customWidth="1"/>
  </cols>
  <sheetData>
    <row r="1" spans="1:4">
      <c r="A1" s="12" t="s">
        <v>160</v>
      </c>
    </row>
    <row r="2" spans="1:4">
      <c r="B2" s="27">
        <v>2011</v>
      </c>
      <c r="C2" s="27">
        <v>2012</v>
      </c>
      <c r="D2" s="27">
        <v>2013</v>
      </c>
    </row>
    <row r="3" spans="1:4">
      <c r="A3" t="s">
        <v>161</v>
      </c>
      <c r="B3" s="28">
        <f>5900/365</f>
        <v>16.164383561643834</v>
      </c>
      <c r="C3">
        <v>17.600000000000001</v>
      </c>
      <c r="D3" s="28">
        <v>19.5</v>
      </c>
    </row>
    <row r="4" spans="1:4">
      <c r="A4" t="s">
        <v>162</v>
      </c>
      <c r="B4" s="28">
        <f>1600/365</f>
        <v>4.3835616438356162</v>
      </c>
      <c r="C4">
        <v>19.100000000000001</v>
      </c>
      <c r="D4">
        <v>41</v>
      </c>
    </row>
    <row r="6" spans="1:4">
      <c r="A6" t="s">
        <v>141</v>
      </c>
      <c r="B6" t="s">
        <v>163</v>
      </c>
    </row>
    <row r="7" spans="1:4">
      <c r="B7" t="s">
        <v>164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/>
  </sheetViews>
  <sheetFormatPr baseColWidth="10" defaultRowHeight="15" x14ac:dyDescent="0"/>
  <cols>
    <col min="4" max="4" width="12.1640625" customWidth="1"/>
  </cols>
  <sheetData>
    <row r="1" spans="1:4">
      <c r="A1" s="12" t="s">
        <v>165</v>
      </c>
    </row>
    <row r="2" spans="1:4">
      <c r="B2">
        <v>2013</v>
      </c>
      <c r="C2" s="17"/>
      <c r="D2" t="s">
        <v>166</v>
      </c>
    </row>
    <row r="3" spans="1:4">
      <c r="A3" t="s">
        <v>167</v>
      </c>
      <c r="B3" s="17">
        <v>0.43290000000000001</v>
      </c>
      <c r="C3" s="17"/>
      <c r="D3" s="29">
        <v>350</v>
      </c>
    </row>
    <row r="4" spans="1:4">
      <c r="A4" t="s">
        <v>168</v>
      </c>
      <c r="B4" s="17">
        <v>0.49469999999999997</v>
      </c>
      <c r="C4" s="17"/>
      <c r="D4" s="29">
        <v>400</v>
      </c>
    </row>
    <row r="5" spans="1:4">
      <c r="A5" t="s">
        <v>152</v>
      </c>
      <c r="B5" s="17">
        <v>6.8000000000000005E-2</v>
      </c>
      <c r="C5" s="17"/>
      <c r="D5" s="29">
        <v>55</v>
      </c>
    </row>
    <row r="6" spans="1:4">
      <c r="A6" t="s">
        <v>169</v>
      </c>
      <c r="B6" s="17">
        <v>0.01</v>
      </c>
      <c r="C6" s="17"/>
      <c r="D6" s="29">
        <v>3.5</v>
      </c>
    </row>
    <row r="7" spans="1:4">
      <c r="D7">
        <f>SUM(D3:D6)</f>
        <v>808.5</v>
      </c>
    </row>
    <row r="8" spans="1:4">
      <c r="A8" s="23" t="s">
        <v>170</v>
      </c>
    </row>
    <row r="9" spans="1:4">
      <c r="A9" t="s">
        <v>171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opLeftCell="A11" workbookViewId="0">
      <selection activeCell="B21" sqref="B21"/>
    </sheetView>
  </sheetViews>
  <sheetFormatPr baseColWidth="10" defaultRowHeight="15" x14ac:dyDescent="0"/>
  <cols>
    <col min="4" max="4" width="12.1640625" customWidth="1"/>
  </cols>
  <sheetData>
    <row r="1" spans="1:12">
      <c r="A1" s="242" t="s">
        <v>172</v>
      </c>
      <c r="B1" s="242"/>
      <c r="C1" s="242"/>
      <c r="D1" s="242"/>
      <c r="E1" s="242"/>
      <c r="F1" s="242"/>
      <c r="G1" s="242"/>
      <c r="H1" s="242"/>
      <c r="J1" s="242"/>
      <c r="K1" s="242"/>
      <c r="L1" s="242"/>
    </row>
    <row r="2" spans="1:12">
      <c r="B2" s="30">
        <v>41183</v>
      </c>
      <c r="C2" s="30">
        <f>DATE(2012,12,1)</f>
        <v>41244</v>
      </c>
      <c r="D2" s="30">
        <v>41306</v>
      </c>
      <c r="E2" s="30">
        <v>41334</v>
      </c>
      <c r="F2" s="30">
        <f>DATE(2013,4,1)</f>
        <v>41365</v>
      </c>
      <c r="G2" s="30">
        <f>DATE(2013,6,1)</f>
        <v>41426</v>
      </c>
      <c r="H2" s="30">
        <f>DATE(2013,9,1)</f>
        <v>41518</v>
      </c>
      <c r="K2" s="30"/>
      <c r="L2" s="30"/>
    </row>
    <row r="3" spans="1:12">
      <c r="A3" s="12" t="s">
        <v>168</v>
      </c>
      <c r="B3">
        <v>20</v>
      </c>
      <c r="C3" s="31">
        <v>50</v>
      </c>
      <c r="D3">
        <v>60</v>
      </c>
      <c r="E3">
        <v>100</v>
      </c>
      <c r="F3" s="31">
        <v>150</v>
      </c>
      <c r="G3">
        <v>200</v>
      </c>
      <c r="H3">
        <v>350</v>
      </c>
    </row>
    <row r="5" spans="1:12">
      <c r="B5" s="17"/>
    </row>
    <row r="6" spans="1:12">
      <c r="B6" s="29"/>
      <c r="C6" s="29"/>
      <c r="D6" s="29"/>
      <c r="E6" s="29"/>
    </row>
    <row r="8" spans="1:12">
      <c r="A8" s="23" t="s">
        <v>170</v>
      </c>
    </row>
    <row r="9" spans="1:12">
      <c r="A9" t="s">
        <v>173</v>
      </c>
    </row>
    <row r="10" spans="1:12">
      <c r="A10" t="s">
        <v>174</v>
      </c>
    </row>
    <row r="11" spans="1:12">
      <c r="A11" t="s">
        <v>175</v>
      </c>
    </row>
  </sheetData>
  <mergeCells count="2">
    <mergeCell ref="A1:H1"/>
    <mergeCell ref="J1:L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opLeftCell="A17" workbookViewId="0"/>
  </sheetViews>
  <sheetFormatPr baseColWidth="10" defaultRowHeight="15" x14ac:dyDescent="0"/>
  <sheetData>
    <row r="1" spans="1:3">
      <c r="B1" t="s">
        <v>176</v>
      </c>
      <c r="C1" t="s">
        <v>146</v>
      </c>
    </row>
    <row r="2" spans="1:3">
      <c r="A2" s="24">
        <v>39783</v>
      </c>
      <c r="B2" s="32">
        <v>0.99399999999999999</v>
      </c>
      <c r="C2" s="32">
        <v>6.0000000000000001E-3</v>
      </c>
    </row>
    <row r="3" spans="1:3">
      <c r="A3" s="24">
        <v>39814</v>
      </c>
      <c r="B3" s="32">
        <v>0.99329999999999996</v>
      </c>
      <c r="C3" s="32">
        <v>6.7000000000000002E-3</v>
      </c>
    </row>
    <row r="4" spans="1:3">
      <c r="A4" s="24">
        <v>39845</v>
      </c>
      <c r="B4" s="32">
        <v>0.99309999999999998</v>
      </c>
      <c r="C4" s="32">
        <v>6.8999999999999999E-3</v>
      </c>
    </row>
    <row r="5" spans="1:3">
      <c r="A5" s="24">
        <v>39873</v>
      </c>
      <c r="B5" s="32">
        <v>0.99199999999999999</v>
      </c>
      <c r="C5" s="32">
        <v>8.0000000000000002E-3</v>
      </c>
    </row>
    <row r="6" spans="1:3">
      <c r="A6" s="24">
        <v>39904</v>
      </c>
      <c r="B6" s="32">
        <v>0.99139999999999995</v>
      </c>
      <c r="C6" s="32">
        <v>8.6E-3</v>
      </c>
    </row>
    <row r="7" spans="1:3">
      <c r="A7" s="24">
        <v>39934</v>
      </c>
      <c r="B7" s="32">
        <v>0.99139999999999995</v>
      </c>
      <c r="C7" s="32">
        <v>8.6E-3</v>
      </c>
    </row>
    <row r="8" spans="1:3">
      <c r="A8" s="24">
        <v>39965</v>
      </c>
      <c r="B8" s="32">
        <v>0.99060000000000004</v>
      </c>
      <c r="C8" s="32">
        <v>9.4000000000000004E-3</v>
      </c>
    </row>
    <row r="9" spans="1:3">
      <c r="A9" s="24">
        <v>39995</v>
      </c>
      <c r="B9" s="32">
        <v>0.98950000000000005</v>
      </c>
      <c r="C9" s="32">
        <v>1.0500000000000001E-2</v>
      </c>
    </row>
    <row r="10" spans="1:3">
      <c r="A10" s="24">
        <v>40026</v>
      </c>
      <c r="B10" s="32">
        <v>0.98880000000000001</v>
      </c>
      <c r="C10" s="32">
        <v>1.12E-2</v>
      </c>
    </row>
    <row r="11" spans="1:3">
      <c r="A11" s="24">
        <v>40057</v>
      </c>
      <c r="B11" s="32">
        <v>0.98880000000000001</v>
      </c>
      <c r="C11" s="32">
        <v>1.12E-2</v>
      </c>
    </row>
    <row r="12" spans="1:3">
      <c r="A12" s="24">
        <v>40087</v>
      </c>
      <c r="B12" s="32">
        <v>0.98850000000000005</v>
      </c>
      <c r="C12" s="32">
        <v>1.15E-2</v>
      </c>
    </row>
    <row r="13" spans="1:3">
      <c r="A13" s="24">
        <v>40118</v>
      </c>
      <c r="B13" s="32">
        <v>0.9879</v>
      </c>
      <c r="C13" s="32">
        <v>1.21E-2</v>
      </c>
    </row>
    <row r="14" spans="1:3">
      <c r="A14" s="24">
        <v>40148</v>
      </c>
      <c r="B14" s="32">
        <v>0.98719999999999997</v>
      </c>
      <c r="C14" s="32">
        <v>1.2800000000000001E-2</v>
      </c>
    </row>
    <row r="15" spans="1:3">
      <c r="A15" s="24">
        <v>40179</v>
      </c>
      <c r="B15" s="32">
        <v>0.98440000000000005</v>
      </c>
      <c r="C15" s="32">
        <v>1.5599999999999999E-2</v>
      </c>
    </row>
    <row r="16" spans="1:3">
      <c r="A16" s="24">
        <v>40210</v>
      </c>
      <c r="B16" s="32">
        <v>0.98280000000000001</v>
      </c>
      <c r="C16" s="32">
        <v>1.72E-2</v>
      </c>
    </row>
    <row r="17" spans="1:3">
      <c r="A17" s="24">
        <v>40238</v>
      </c>
      <c r="B17" s="32">
        <v>0.98040000000000005</v>
      </c>
      <c r="C17" s="32">
        <v>1.9599999999999999E-2</v>
      </c>
    </row>
    <row r="18" spans="1:3">
      <c r="A18" s="24">
        <v>40269</v>
      </c>
      <c r="B18" s="32">
        <v>0.97819999999999996</v>
      </c>
      <c r="C18" s="32">
        <v>2.18E-2</v>
      </c>
    </row>
    <row r="19" spans="1:3">
      <c r="A19" s="24">
        <v>40299</v>
      </c>
      <c r="B19" s="32">
        <v>0.9768</v>
      </c>
      <c r="C19" s="32">
        <v>2.3199999999999998E-2</v>
      </c>
    </row>
    <row r="20" spans="1:3">
      <c r="A20" s="24">
        <v>40330</v>
      </c>
      <c r="B20" s="32">
        <v>0.97430000000000005</v>
      </c>
      <c r="C20" s="32">
        <v>2.5700000000000001E-2</v>
      </c>
    </row>
    <row r="21" spans="1:3">
      <c r="A21" s="24">
        <v>40360</v>
      </c>
      <c r="B21" s="32">
        <v>0.97140000000000004</v>
      </c>
      <c r="C21" s="32">
        <v>2.86E-2</v>
      </c>
    </row>
    <row r="22" spans="1:3">
      <c r="A22" s="24">
        <v>40391</v>
      </c>
      <c r="B22" s="32">
        <v>0.96789999999999998</v>
      </c>
      <c r="C22" s="32">
        <v>3.2099999999999997E-2</v>
      </c>
    </row>
    <row r="23" spans="1:3">
      <c r="A23" s="24">
        <v>40422</v>
      </c>
      <c r="B23" s="32">
        <v>0.96499999999999997</v>
      </c>
      <c r="C23" s="32">
        <v>3.5000000000000003E-2</v>
      </c>
    </row>
    <row r="24" spans="1:3">
      <c r="A24" s="24">
        <v>40452</v>
      </c>
      <c r="B24" s="32">
        <v>0.96189999999999998</v>
      </c>
      <c r="C24" s="32">
        <v>3.8100000000000002E-2</v>
      </c>
    </row>
    <row r="25" spans="1:3">
      <c r="A25" s="24">
        <v>40483</v>
      </c>
      <c r="B25" s="32">
        <v>0.95979999999999999</v>
      </c>
      <c r="C25" s="32">
        <v>4.02E-2</v>
      </c>
    </row>
    <row r="26" spans="1:3">
      <c r="A26" s="24">
        <v>40513</v>
      </c>
      <c r="B26" s="32">
        <v>0.95899999999999996</v>
      </c>
      <c r="C26" s="32">
        <v>4.1000000000000002E-2</v>
      </c>
    </row>
    <row r="27" spans="1:3">
      <c r="A27" s="24">
        <v>40544</v>
      </c>
      <c r="B27" s="32">
        <v>0.95699999999999996</v>
      </c>
      <c r="C27" s="32">
        <v>4.2999999999999997E-2</v>
      </c>
    </row>
    <row r="28" spans="1:3">
      <c r="A28" s="24">
        <v>40575</v>
      </c>
      <c r="B28" s="32">
        <v>0.95550000000000002</v>
      </c>
      <c r="C28" s="32">
        <v>4.4499999999999998E-2</v>
      </c>
    </row>
    <row r="29" spans="1:3">
      <c r="A29" s="24">
        <v>40603</v>
      </c>
      <c r="B29" s="32">
        <v>0.95299999999999996</v>
      </c>
      <c r="C29" s="32">
        <v>4.7E-2</v>
      </c>
    </row>
    <row r="30" spans="1:3">
      <c r="A30" s="24">
        <v>40634</v>
      </c>
      <c r="B30" s="32">
        <v>0.94789999999999996</v>
      </c>
      <c r="C30" s="32">
        <v>5.21E-2</v>
      </c>
    </row>
    <row r="31" spans="1:3">
      <c r="A31" s="24">
        <v>40664</v>
      </c>
      <c r="B31" s="32">
        <v>0.9425</v>
      </c>
      <c r="C31" s="32">
        <v>5.7500000000000002E-2</v>
      </c>
    </row>
    <row r="32" spans="1:3">
      <c r="A32" s="24">
        <v>40695</v>
      </c>
      <c r="B32" s="32">
        <v>0.93469999999999998</v>
      </c>
      <c r="C32" s="32">
        <v>6.5299999999999997E-2</v>
      </c>
    </row>
    <row r="33" spans="1:3">
      <c r="A33" s="24">
        <v>40725</v>
      </c>
      <c r="B33" s="32">
        <v>0.92979999999999996</v>
      </c>
      <c r="C33" s="32">
        <v>7.0199999999999999E-2</v>
      </c>
    </row>
    <row r="34" spans="1:3">
      <c r="A34" s="24">
        <v>40756</v>
      </c>
      <c r="B34" s="32">
        <v>0.92879999999999996</v>
      </c>
      <c r="C34" s="32">
        <v>7.1199999999999999E-2</v>
      </c>
    </row>
    <row r="35" spans="1:3">
      <c r="A35" s="24">
        <v>40787</v>
      </c>
      <c r="B35" s="32">
        <v>0.93259999999999998</v>
      </c>
      <c r="C35" s="32">
        <v>6.7400000000000002E-2</v>
      </c>
    </row>
    <row r="36" spans="1:3">
      <c r="A36" s="24">
        <v>40817</v>
      </c>
      <c r="B36" s="32">
        <v>0.9345</v>
      </c>
      <c r="C36" s="32">
        <v>6.5500000000000003E-2</v>
      </c>
    </row>
    <row r="37" spans="1:3">
      <c r="A37" s="24">
        <v>40848</v>
      </c>
      <c r="B37" s="32">
        <v>0.93049999999999999</v>
      </c>
      <c r="C37" s="32">
        <v>6.9500000000000006E-2</v>
      </c>
    </row>
    <row r="38" spans="1:3">
      <c r="A38" s="24">
        <v>40878</v>
      </c>
      <c r="B38" s="32">
        <v>0.91959999999999997</v>
      </c>
      <c r="C38" s="32">
        <v>8.0399999999999999E-2</v>
      </c>
    </row>
    <row r="39" spans="1:3">
      <c r="A39" s="24">
        <v>40909</v>
      </c>
      <c r="B39" s="32">
        <v>0.91510000000000002</v>
      </c>
      <c r="C39" s="32">
        <v>8.4900000000000003E-2</v>
      </c>
    </row>
    <row r="40" spans="1:3">
      <c r="A40" s="24">
        <v>40940</v>
      </c>
      <c r="B40" s="32">
        <v>0.91469999999999996</v>
      </c>
      <c r="C40" s="32">
        <v>8.5300000000000001E-2</v>
      </c>
    </row>
    <row r="41" spans="1:3">
      <c r="A41" s="24">
        <v>40969</v>
      </c>
      <c r="B41" s="32">
        <v>0.91010000000000002</v>
      </c>
      <c r="C41" s="32">
        <v>8.9899999999999994E-2</v>
      </c>
    </row>
    <row r="42" spans="1:3">
      <c r="A42" s="24">
        <v>41000</v>
      </c>
      <c r="B42" s="32">
        <v>0.9042</v>
      </c>
      <c r="C42" s="32">
        <v>9.5799999999999996E-2</v>
      </c>
    </row>
    <row r="43" spans="1:3">
      <c r="A43" s="24">
        <v>41030</v>
      </c>
      <c r="B43" s="32">
        <v>0.89890000000000003</v>
      </c>
      <c r="C43" s="32">
        <v>0.1011</v>
      </c>
    </row>
    <row r="44" spans="1:3">
      <c r="A44" s="24">
        <v>41061</v>
      </c>
      <c r="B44" s="32">
        <v>0.89600000000000002</v>
      </c>
      <c r="C44" s="32">
        <v>0.104</v>
      </c>
    </row>
    <row r="45" spans="1:3">
      <c r="A45" s="24">
        <v>41091</v>
      </c>
      <c r="B45" s="32">
        <v>0.8891</v>
      </c>
      <c r="C45" s="32">
        <v>0.1109</v>
      </c>
    </row>
    <row r="46" spans="1:3">
      <c r="A46" s="24">
        <v>41122</v>
      </c>
      <c r="B46" s="32">
        <v>0.88219999999999998</v>
      </c>
      <c r="C46" s="32">
        <v>0.1178</v>
      </c>
    </row>
    <row r="47" spans="1:3">
      <c r="A47" s="24">
        <v>41153</v>
      </c>
      <c r="B47" s="32">
        <v>0.87970000000000004</v>
      </c>
      <c r="C47" s="32">
        <v>0.1203</v>
      </c>
    </row>
    <row r="48" spans="1:3">
      <c r="A48" s="24">
        <v>41183</v>
      </c>
      <c r="B48" s="32">
        <v>0.877</v>
      </c>
      <c r="C48" s="32">
        <v>0.123</v>
      </c>
    </row>
    <row r="49" spans="1:3">
      <c r="A49" s="24">
        <v>41214</v>
      </c>
      <c r="B49" s="32">
        <v>0.86919999999999997</v>
      </c>
      <c r="C49" s="32">
        <v>0.1308</v>
      </c>
    </row>
    <row r="50" spans="1:3">
      <c r="A50" s="24">
        <v>41244</v>
      </c>
      <c r="B50" s="32">
        <v>0.85450000000000004</v>
      </c>
      <c r="C50" s="32">
        <v>0.14549999999999999</v>
      </c>
    </row>
    <row r="51" spans="1:3">
      <c r="A51" s="24">
        <v>41275</v>
      </c>
      <c r="B51" s="32">
        <v>0.85870000000000002</v>
      </c>
      <c r="C51" s="32">
        <v>0.14130000000000001</v>
      </c>
    </row>
    <row r="52" spans="1:3">
      <c r="A52" s="24">
        <v>41306</v>
      </c>
      <c r="B52" s="32">
        <v>0.85650000000000004</v>
      </c>
      <c r="C52" s="32">
        <v>0.14349999999999999</v>
      </c>
    </row>
    <row r="53" spans="1:3">
      <c r="A53" s="24">
        <v>41334</v>
      </c>
      <c r="B53" s="32">
        <v>0.85560000000000003</v>
      </c>
      <c r="C53" s="32">
        <v>0.1444</v>
      </c>
    </row>
    <row r="54" spans="1:3">
      <c r="A54" s="24">
        <v>41365</v>
      </c>
      <c r="B54" s="32">
        <v>0.86099999999999999</v>
      </c>
      <c r="C54" s="32">
        <v>0.13900000000000001</v>
      </c>
    </row>
    <row r="55" spans="1:3">
      <c r="A55" s="24">
        <v>41395</v>
      </c>
      <c r="B55" s="32">
        <v>0.8538</v>
      </c>
      <c r="C55" s="32">
        <v>0.1462</v>
      </c>
    </row>
    <row r="56" spans="1:3">
      <c r="A56" s="24">
        <v>41426</v>
      </c>
      <c r="B56" s="32">
        <v>0.83919999999999995</v>
      </c>
      <c r="C56" s="32">
        <v>0.1608</v>
      </c>
    </row>
    <row r="57" spans="1:3">
      <c r="A57" s="24">
        <v>41456</v>
      </c>
      <c r="B57" s="32">
        <v>0.82650000000000001</v>
      </c>
      <c r="C57" s="32">
        <v>0.17349999999999999</v>
      </c>
    </row>
    <row r="58" spans="1:3">
      <c r="A58" s="24">
        <v>41487</v>
      </c>
      <c r="B58" s="17">
        <v>0.82</v>
      </c>
      <c r="C58" s="17">
        <v>0.18</v>
      </c>
    </row>
    <row r="59" spans="1:3">
      <c r="A59" s="24">
        <v>41518</v>
      </c>
      <c r="B59" s="32">
        <v>0.82189999999999996</v>
      </c>
      <c r="C59" s="32">
        <v>0.17810000000000001</v>
      </c>
    </row>
    <row r="60" spans="1:3">
      <c r="A60" s="24">
        <v>41548</v>
      </c>
      <c r="B60" s="32">
        <v>0.80330000000000001</v>
      </c>
      <c r="C60" s="32">
        <v>0.19670000000000001</v>
      </c>
    </row>
    <row r="61" spans="1:3">
      <c r="A61" s="24">
        <v>41579</v>
      </c>
      <c r="B61" s="32">
        <v>0.79959999999999998</v>
      </c>
      <c r="C61" s="32">
        <v>0.20039999999999999</v>
      </c>
    </row>
    <row r="62" spans="1:3">
      <c r="A62" s="24">
        <v>41609</v>
      </c>
      <c r="B62" s="32">
        <v>0.78239999999999998</v>
      </c>
      <c r="C62" s="32">
        <v>0.21759999999999999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/>
  </sheetViews>
  <sheetFormatPr baseColWidth="10" defaultRowHeight="15" x14ac:dyDescent="0"/>
  <sheetData>
    <row r="1" spans="1:8">
      <c r="B1">
        <v>2011</v>
      </c>
      <c r="C1">
        <v>2012</v>
      </c>
      <c r="D1">
        <v>2013</v>
      </c>
      <c r="E1">
        <v>2014</v>
      </c>
      <c r="F1">
        <v>2015</v>
      </c>
      <c r="G1">
        <v>2016</v>
      </c>
      <c r="H1">
        <v>2017</v>
      </c>
    </row>
    <row r="2" spans="1:8">
      <c r="A2" t="s">
        <v>177</v>
      </c>
      <c r="B2">
        <v>307869</v>
      </c>
      <c r="C2">
        <v>736792</v>
      </c>
      <c r="D2">
        <v>1545713</v>
      </c>
      <c r="E2">
        <v>2917659</v>
      </c>
      <c r="F2">
        <v>4882198</v>
      </c>
      <c r="G2">
        <v>7615443</v>
      </c>
    </row>
    <row r="3" spans="1:8">
      <c r="A3" t="s">
        <v>177</v>
      </c>
      <c r="B3">
        <v>307869</v>
      </c>
      <c r="C3" s="13">
        <v>455216</v>
      </c>
      <c r="D3" s="13">
        <v>858026</v>
      </c>
      <c r="E3" s="13">
        <v>1603384</v>
      </c>
      <c r="F3" s="13">
        <v>2834963</v>
      </c>
      <c r="G3" s="13">
        <v>4714310</v>
      </c>
      <c r="H3" s="13">
        <v>7418322</v>
      </c>
    </row>
    <row r="5" spans="1:8">
      <c r="A5" t="s">
        <v>178</v>
      </c>
    </row>
    <row r="6" spans="1:8">
      <c r="A6" t="s">
        <v>179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25" workbookViewId="0"/>
  </sheetViews>
  <sheetFormatPr baseColWidth="10" defaultRowHeight="15" x14ac:dyDescent="0"/>
  <sheetData>
    <row r="1" spans="1:7">
      <c r="B1">
        <v>2008</v>
      </c>
      <c r="C1">
        <v>2009</v>
      </c>
      <c r="D1">
        <v>2010</v>
      </c>
      <c r="E1">
        <v>2011</v>
      </c>
      <c r="F1">
        <v>2012</v>
      </c>
      <c r="G1">
        <v>2013</v>
      </c>
    </row>
    <row r="2" spans="1:7">
      <c r="A2" t="s">
        <v>181</v>
      </c>
      <c r="B2" s="16">
        <v>0.05</v>
      </c>
      <c r="C2" s="16">
        <v>0.25</v>
      </c>
      <c r="D2" s="16">
        <v>0.5</v>
      </c>
      <c r="E2" s="16">
        <v>0.7</v>
      </c>
      <c r="F2" s="16">
        <v>0.77</v>
      </c>
      <c r="G2" s="16">
        <v>0.85</v>
      </c>
    </row>
    <row r="3" spans="1:7">
      <c r="A3" t="s">
        <v>167</v>
      </c>
      <c r="B3" s="16">
        <v>0.01</v>
      </c>
      <c r="C3" s="16">
        <v>0.125</v>
      </c>
      <c r="D3" s="16">
        <v>0.25</v>
      </c>
      <c r="E3" s="16">
        <v>0.33</v>
      </c>
      <c r="F3" s="16">
        <v>0.55000000000000004</v>
      </c>
      <c r="G3" s="16">
        <v>0.65</v>
      </c>
    </row>
    <row r="4" spans="1:7">
      <c r="A4" t="s">
        <v>180</v>
      </c>
      <c r="B4" s="16"/>
      <c r="C4" s="16">
        <v>0.26</v>
      </c>
      <c r="D4" s="16">
        <v>0.47</v>
      </c>
      <c r="E4" s="16">
        <v>0.55000000000000004</v>
      </c>
      <c r="F4" s="16">
        <v>0.6</v>
      </c>
      <c r="G4" s="16">
        <v>0.8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B46"/>
  <sheetViews>
    <sheetView topLeftCell="B13" workbookViewId="0">
      <selection activeCell="B13" sqref="A1:XFD1048576"/>
    </sheetView>
  </sheetViews>
  <sheetFormatPr baseColWidth="10" defaultRowHeight="15" x14ac:dyDescent="0"/>
  <cols>
    <col min="1" max="2" width="10.83203125" style="1"/>
    <col min="3" max="3" width="13.33203125" style="1" bestFit="1" customWidth="1"/>
    <col min="4" max="5" width="10.83203125" style="1"/>
    <col min="6" max="8" width="12.83203125" style="1" bestFit="1" customWidth="1"/>
    <col min="9" max="9" width="13.83203125" style="1" bestFit="1" customWidth="1"/>
    <col min="10" max="12" width="14" style="1" bestFit="1" customWidth="1"/>
    <col min="13" max="15" width="14.5" style="1" bestFit="1" customWidth="1"/>
    <col min="16" max="16" width="14.33203125" style="1" bestFit="1" customWidth="1"/>
    <col min="17" max="17" width="14.5" style="1" bestFit="1" customWidth="1"/>
    <col min="18" max="19" width="14.5" style="1" customWidth="1"/>
    <col min="20" max="20" width="14.5" style="1" bestFit="1" customWidth="1"/>
    <col min="21" max="21" width="11.83203125" style="1" bestFit="1" customWidth="1"/>
    <col min="22" max="22" width="13.83203125" style="1" customWidth="1"/>
    <col min="23" max="23" width="15.1640625" style="1" bestFit="1" customWidth="1"/>
    <col min="24" max="26" width="15.1640625" style="1" customWidth="1"/>
    <col min="27" max="27" width="11.33203125" style="1" bestFit="1" customWidth="1"/>
    <col min="28" max="28" width="11.5" style="1" bestFit="1" customWidth="1"/>
    <col min="29" max="16384" width="10.83203125" style="1"/>
  </cols>
  <sheetData>
    <row r="2" spans="2:28">
      <c r="C2" s="116" t="s">
        <v>5</v>
      </c>
      <c r="D2" s="116" t="s">
        <v>6</v>
      </c>
      <c r="E2" s="116" t="s">
        <v>7</v>
      </c>
      <c r="F2" s="116" t="s">
        <v>8</v>
      </c>
      <c r="G2" s="116" t="s">
        <v>9</v>
      </c>
      <c r="H2" s="116" t="s">
        <v>10</v>
      </c>
      <c r="I2" s="116" t="s">
        <v>11</v>
      </c>
      <c r="J2" s="116" t="s">
        <v>12</v>
      </c>
      <c r="K2" s="116" t="s">
        <v>13</v>
      </c>
      <c r="L2" s="116" t="s">
        <v>14</v>
      </c>
      <c r="M2" s="116" t="s">
        <v>15</v>
      </c>
      <c r="N2" s="116" t="s">
        <v>16</v>
      </c>
      <c r="O2" s="116" t="s">
        <v>17</v>
      </c>
      <c r="P2" s="116" t="s">
        <v>18</v>
      </c>
      <c r="Q2" s="116" t="s">
        <v>19</v>
      </c>
      <c r="R2" s="116" t="s">
        <v>20</v>
      </c>
      <c r="S2" s="116" t="s">
        <v>21</v>
      </c>
      <c r="T2" s="116" t="s">
        <v>22</v>
      </c>
      <c r="U2" s="116" t="s">
        <v>23</v>
      </c>
      <c r="V2" s="116" t="s">
        <v>24</v>
      </c>
      <c r="W2" s="116" t="s">
        <v>25</v>
      </c>
      <c r="X2" s="116" t="s">
        <v>26</v>
      </c>
      <c r="Y2" s="116" t="s">
        <v>27</v>
      </c>
      <c r="Z2" s="116"/>
    </row>
    <row r="3" spans="2:28">
      <c r="B3" s="117" t="s">
        <v>28</v>
      </c>
      <c r="C3" s="118">
        <v>892500</v>
      </c>
      <c r="D3" s="118">
        <v>4720000</v>
      </c>
      <c r="E3" s="118">
        <v>4079400</v>
      </c>
      <c r="F3" s="119">
        <v>3848100</v>
      </c>
      <c r="G3" s="119">
        <v>5325000</v>
      </c>
      <c r="H3" s="119">
        <v>7400000</v>
      </c>
      <c r="I3" s="119">
        <v>8700000</v>
      </c>
      <c r="J3" s="119">
        <v>8750000</v>
      </c>
      <c r="K3" s="119">
        <v>8400000</v>
      </c>
      <c r="L3" s="119">
        <v>14100000</v>
      </c>
      <c r="M3" s="119">
        <v>16240000</v>
      </c>
      <c r="N3" s="119">
        <v>18650000</v>
      </c>
      <c r="O3" s="119">
        <v>20340000</v>
      </c>
      <c r="P3" s="119">
        <v>17295300</v>
      </c>
      <c r="Q3" s="119">
        <v>37040000</v>
      </c>
      <c r="R3" s="119">
        <v>35064000</v>
      </c>
      <c r="S3" s="119">
        <v>26000000</v>
      </c>
      <c r="T3" s="119">
        <v>26900000</v>
      </c>
      <c r="U3" s="119">
        <v>47800000</v>
      </c>
      <c r="V3" s="2">
        <v>37400000</v>
      </c>
      <c r="W3" s="2">
        <v>31200000</v>
      </c>
      <c r="X3" s="2">
        <v>33800000</v>
      </c>
      <c r="Y3" s="2">
        <v>51000000</v>
      </c>
      <c r="Z3" s="120" t="s">
        <v>28</v>
      </c>
      <c r="AA3" s="121">
        <f>$Y3/$U3-1</f>
        <v>6.6945606694560622E-2</v>
      </c>
    </row>
    <row r="4" spans="2:28">
      <c r="B4" s="117" t="s">
        <v>29</v>
      </c>
      <c r="C4" s="118">
        <v>5594200</v>
      </c>
      <c r="D4" s="118">
        <v>6148000</v>
      </c>
      <c r="E4" s="118">
        <v>6683000</v>
      </c>
      <c r="F4" s="119">
        <v>7533600</v>
      </c>
      <c r="G4" s="119">
        <v>7782200</v>
      </c>
      <c r="H4" s="119">
        <v>8300000</v>
      </c>
      <c r="I4" s="119">
        <v>10100000</v>
      </c>
      <c r="J4" s="119">
        <v>10500000</v>
      </c>
      <c r="K4" s="119">
        <v>11200000</v>
      </c>
      <c r="L4" s="119">
        <v>12100000</v>
      </c>
      <c r="M4" s="119">
        <v>14200000</v>
      </c>
      <c r="N4" s="119">
        <v>13500000</v>
      </c>
      <c r="O4" s="119">
        <v>13200000</v>
      </c>
      <c r="P4" s="119">
        <v>12701100</v>
      </c>
      <c r="Q4" s="119">
        <v>14100000</v>
      </c>
      <c r="R4" s="119">
        <v>9700000</v>
      </c>
      <c r="S4" s="119">
        <v>7800000</v>
      </c>
      <c r="T4" s="119">
        <v>7700000</v>
      </c>
      <c r="U4" s="119">
        <v>6900000</v>
      </c>
      <c r="V4" s="2">
        <v>6000000</v>
      </c>
      <c r="W4" s="119">
        <v>6800000</v>
      </c>
      <c r="X4" s="119">
        <v>5900000</v>
      </c>
      <c r="Y4" s="119">
        <v>1700000</v>
      </c>
      <c r="Z4" s="122" t="s">
        <v>29</v>
      </c>
      <c r="AA4" s="121">
        <f t="shared" ref="AA4:AA16" si="0">$Y4/$U4-1</f>
        <v>-0.75362318840579712</v>
      </c>
    </row>
    <row r="5" spans="2:28">
      <c r="B5" s="123" t="s">
        <v>30</v>
      </c>
      <c r="F5" s="2">
        <f>5700000*0.18</f>
        <v>1026000</v>
      </c>
      <c r="G5" s="2">
        <f>5700000*0.22</f>
        <v>1254000</v>
      </c>
      <c r="H5" s="2">
        <f>5700000*0.25</f>
        <v>1425000</v>
      </c>
      <c r="I5" s="2">
        <f>5700000*0.35</f>
        <v>1994999.9999999998</v>
      </c>
      <c r="J5" s="119">
        <v>2400000</v>
      </c>
      <c r="K5" s="119">
        <v>3000000</v>
      </c>
      <c r="L5" s="119">
        <v>7500000</v>
      </c>
      <c r="M5" s="119">
        <v>10700000</v>
      </c>
      <c r="N5" s="119">
        <v>12600000</v>
      </c>
      <c r="O5" s="119">
        <v>19200000</v>
      </c>
      <c r="P5" s="119">
        <v>27800000</v>
      </c>
      <c r="Q5" s="119">
        <v>36500000</v>
      </c>
      <c r="R5" s="119">
        <v>42200000</v>
      </c>
      <c r="S5" s="119">
        <v>50200000</v>
      </c>
      <c r="T5" s="119">
        <v>56900000</v>
      </c>
      <c r="U5" s="119">
        <v>63500000</v>
      </c>
      <c r="V5" s="2">
        <v>69700000</v>
      </c>
      <c r="W5" s="119">
        <v>74200000</v>
      </c>
      <c r="X5" s="119">
        <v>82200000</v>
      </c>
      <c r="Y5" s="119">
        <v>80000000</v>
      </c>
      <c r="Z5" s="124" t="s">
        <v>30</v>
      </c>
      <c r="AA5" s="121">
        <f t="shared" si="0"/>
        <v>0.25984251968503935</v>
      </c>
    </row>
    <row r="6" spans="2:28">
      <c r="B6" s="123" t="s">
        <v>31</v>
      </c>
      <c r="E6" s="1">
        <v>1600000</v>
      </c>
      <c r="F6" s="2">
        <f>I17*0.18</f>
        <v>1285714.2857142859</v>
      </c>
      <c r="G6" s="2">
        <f>I17*0.22</f>
        <v>1571428.5714285716</v>
      </c>
      <c r="H6" s="2">
        <f>I17*0.25</f>
        <v>1785714.2857142859</v>
      </c>
      <c r="I6" s="2">
        <v>2500000</v>
      </c>
      <c r="J6" s="119">
        <v>2300000</v>
      </c>
      <c r="K6" s="119">
        <v>2700000</v>
      </c>
      <c r="L6" s="119">
        <v>3800000</v>
      </c>
      <c r="M6" s="119">
        <v>4900000</v>
      </c>
      <c r="N6" s="119">
        <v>4100000</v>
      </c>
      <c r="O6" s="119">
        <v>4400000</v>
      </c>
      <c r="P6" s="119">
        <v>4800000</v>
      </c>
      <c r="Q6" s="119">
        <v>5300000</v>
      </c>
      <c r="R6" s="119">
        <v>5100000</v>
      </c>
      <c r="S6" s="119">
        <v>5500000</v>
      </c>
      <c r="T6" s="119">
        <v>4800000</v>
      </c>
      <c r="U6" s="119">
        <v>4600000</v>
      </c>
      <c r="V6" s="119">
        <v>2500000</v>
      </c>
      <c r="W6" s="119">
        <v>2100000</v>
      </c>
      <c r="X6" s="119">
        <v>2300000</v>
      </c>
      <c r="Y6" s="119">
        <v>2200000</v>
      </c>
      <c r="Z6" s="124" t="s">
        <v>31</v>
      </c>
      <c r="AA6" s="121">
        <f t="shared" si="0"/>
        <v>-0.52173913043478259</v>
      </c>
    </row>
    <row r="7" spans="2:28">
      <c r="B7" s="123" t="s">
        <v>32</v>
      </c>
      <c r="Q7" s="118">
        <v>2000000</v>
      </c>
      <c r="R7" s="118">
        <v>2000000</v>
      </c>
      <c r="S7" s="118">
        <v>4000000</v>
      </c>
      <c r="T7" s="119">
        <v>2900000</v>
      </c>
      <c r="U7" s="119">
        <v>4400000</v>
      </c>
      <c r="V7" s="2">
        <v>5600000</v>
      </c>
      <c r="W7" s="125">
        <v>7400000</v>
      </c>
      <c r="X7" s="125">
        <v>8800000</v>
      </c>
      <c r="Y7" s="125">
        <v>8200000</v>
      </c>
      <c r="Z7" s="126" t="s">
        <v>32</v>
      </c>
      <c r="AA7" s="121">
        <f t="shared" si="0"/>
        <v>0.86363636363636354</v>
      </c>
    </row>
    <row r="8" spans="2:28">
      <c r="B8" s="123" t="s">
        <v>33</v>
      </c>
      <c r="F8" s="118">
        <v>1960000</v>
      </c>
      <c r="G8" s="118">
        <v>2400000</v>
      </c>
      <c r="H8" s="118">
        <v>2659500</v>
      </c>
      <c r="I8" s="118">
        <f>M8/2.63</f>
        <v>3460076.0456273765</v>
      </c>
      <c r="J8" s="118">
        <f>24600000-SUM(K8:M8)</f>
        <v>3234612.7930481657</v>
      </c>
      <c r="K8" s="118">
        <f>O8/2.23</f>
        <v>5426008.9686098658</v>
      </c>
      <c r="L8" s="118">
        <f>P8/1.93</f>
        <v>6839378.2383419694</v>
      </c>
      <c r="M8" s="118">
        <v>9100000</v>
      </c>
      <c r="N8" s="118">
        <v>9000000</v>
      </c>
      <c r="O8" s="118">
        <v>12100000</v>
      </c>
      <c r="P8" s="118">
        <v>13200000</v>
      </c>
      <c r="Q8" s="118">
        <v>10000000</v>
      </c>
      <c r="R8" s="118">
        <v>6900000</v>
      </c>
      <c r="S8" s="118">
        <v>9000000</v>
      </c>
      <c r="T8" s="119">
        <v>7700000</v>
      </c>
      <c r="U8" s="119">
        <v>6600000</v>
      </c>
      <c r="V8" s="2">
        <v>4800000</v>
      </c>
      <c r="W8" s="125">
        <v>4300000</v>
      </c>
      <c r="X8" s="125">
        <v>5900000</v>
      </c>
      <c r="Y8" s="125">
        <v>5000000</v>
      </c>
      <c r="Z8" s="126" t="s">
        <v>33</v>
      </c>
      <c r="AA8" s="121">
        <f t="shared" si="0"/>
        <v>-0.24242424242424243</v>
      </c>
    </row>
    <row r="9" spans="2:28">
      <c r="B9" s="123" t="s">
        <v>34</v>
      </c>
      <c r="F9" s="118"/>
      <c r="G9" s="118"/>
      <c r="H9" s="118"/>
      <c r="I9" s="118"/>
      <c r="J9" s="118"/>
      <c r="K9" s="118"/>
      <c r="L9" s="118"/>
      <c r="M9" s="118">
        <v>4700000</v>
      </c>
      <c r="N9" s="118">
        <v>4700000</v>
      </c>
      <c r="O9" s="118">
        <v>5400000</v>
      </c>
      <c r="P9" s="118">
        <v>5900000</v>
      </c>
      <c r="Q9" s="118">
        <v>7300000</v>
      </c>
      <c r="R9" s="118">
        <v>5500000</v>
      </c>
      <c r="S9" s="118">
        <v>5300000</v>
      </c>
      <c r="T9" s="119">
        <v>7000000</v>
      </c>
      <c r="U9" s="119">
        <v>8600000</v>
      </c>
      <c r="V9" s="2">
        <v>10300000</v>
      </c>
      <c r="W9" s="125">
        <v>12100000</v>
      </c>
      <c r="X9" s="125">
        <v>12000000</v>
      </c>
      <c r="Y9" s="125">
        <v>13200000</v>
      </c>
      <c r="Z9" s="126" t="s">
        <v>34</v>
      </c>
      <c r="AA9" s="121">
        <f t="shared" si="0"/>
        <v>0.53488372093023262</v>
      </c>
    </row>
    <row r="10" spans="2:28">
      <c r="B10" s="123" t="s">
        <v>35</v>
      </c>
      <c r="F10" s="118"/>
      <c r="G10" s="118"/>
      <c r="H10" s="118"/>
      <c r="I10" s="118"/>
      <c r="J10" s="118"/>
      <c r="K10" s="118"/>
      <c r="L10" s="118">
        <f>0.08*20000000</f>
        <v>1600000</v>
      </c>
      <c r="M10" s="118">
        <v>5200000</v>
      </c>
      <c r="N10" s="118">
        <v>4900000</v>
      </c>
      <c r="O10" s="118">
        <v>5300000</v>
      </c>
      <c r="P10" s="118">
        <v>7600000</v>
      </c>
      <c r="Q10" s="118">
        <v>7100000</v>
      </c>
      <c r="R10" s="118">
        <v>7300000</v>
      </c>
      <c r="S10" s="118">
        <v>7400000</v>
      </c>
      <c r="T10" s="119">
        <v>8900000</v>
      </c>
      <c r="U10" s="119">
        <v>9300000</v>
      </c>
      <c r="V10" s="2">
        <v>8900000</v>
      </c>
      <c r="W10" s="125">
        <v>10200000</v>
      </c>
      <c r="X10" s="125">
        <v>10000000</v>
      </c>
      <c r="Y10" s="125">
        <v>12000000</v>
      </c>
      <c r="Z10" s="126" t="s">
        <v>35</v>
      </c>
      <c r="AA10" s="121">
        <f t="shared" si="0"/>
        <v>0.29032258064516125</v>
      </c>
    </row>
    <row r="11" spans="2:28">
      <c r="B11" s="123" t="s">
        <v>36</v>
      </c>
      <c r="F11" s="118"/>
      <c r="G11" s="118"/>
      <c r="H11" s="118"/>
      <c r="I11" s="118"/>
      <c r="J11" s="118"/>
      <c r="K11" s="118"/>
      <c r="L11" s="118"/>
      <c r="M11" s="118"/>
      <c r="N11" s="118">
        <f>20000000-SUM(O11:Q11)</f>
        <v>4000000</v>
      </c>
      <c r="O11" s="118">
        <v>4100000</v>
      </c>
      <c r="P11" s="118">
        <v>4400000</v>
      </c>
      <c r="Q11" s="118">
        <v>7500000</v>
      </c>
      <c r="R11" s="118">
        <v>7000000</v>
      </c>
      <c r="S11" s="118">
        <v>6600000</v>
      </c>
      <c r="T11" s="119">
        <v>7600000</v>
      </c>
      <c r="U11" s="119">
        <v>10300000</v>
      </c>
      <c r="V11" s="2">
        <v>10300000</v>
      </c>
      <c r="W11" s="125">
        <v>11100000</v>
      </c>
      <c r="X11" s="125">
        <v>12600000</v>
      </c>
      <c r="Y11" s="125">
        <v>16400000</v>
      </c>
      <c r="Z11" s="126" t="s">
        <v>36</v>
      </c>
      <c r="AA11" s="121">
        <f t="shared" si="0"/>
        <v>0.59223300970873782</v>
      </c>
      <c r="AB11" s="4"/>
    </row>
    <row r="12" spans="2:28">
      <c r="B12" s="123" t="s">
        <v>37</v>
      </c>
      <c r="F12" s="118"/>
      <c r="G12" s="118"/>
      <c r="H12" s="118"/>
      <c r="I12" s="118"/>
      <c r="J12" s="118"/>
      <c r="K12" s="118"/>
      <c r="L12" s="118"/>
      <c r="M12" s="118"/>
      <c r="N12" s="118">
        <v>2200000</v>
      </c>
      <c r="O12" s="118">
        <v>2700000</v>
      </c>
      <c r="P12" s="118">
        <v>3100000</v>
      </c>
      <c r="Q12" s="118">
        <v>3800000</v>
      </c>
      <c r="R12" s="118">
        <v>5000000</v>
      </c>
      <c r="S12" s="118">
        <v>5000000</v>
      </c>
      <c r="T12" s="119">
        <v>6800000</v>
      </c>
      <c r="U12" s="119">
        <v>9200000</v>
      </c>
      <c r="V12" s="2">
        <v>9000000</v>
      </c>
      <c r="W12" s="125">
        <f>AVERAGE(10100000,11500000)</f>
        <v>10800000</v>
      </c>
      <c r="X12" s="125">
        <v>12500000</v>
      </c>
      <c r="Y12" s="2">
        <f>40800000-(Y13+Y11)</f>
        <v>10500000</v>
      </c>
      <c r="Z12" s="126" t="s">
        <v>37</v>
      </c>
      <c r="AA12" s="121">
        <f t="shared" si="0"/>
        <v>0.14130434782608692</v>
      </c>
    </row>
    <row r="13" spans="2:28">
      <c r="B13" s="123" t="s">
        <v>38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>
        <v>105624.2650909091</v>
      </c>
      <c r="O13" s="119">
        <v>152754.41937127171</v>
      </c>
      <c r="P13" s="119">
        <v>406300</v>
      </c>
      <c r="Q13" s="119">
        <v>2459189.6999999993</v>
      </c>
      <c r="R13" s="119">
        <v>2986400.3522727275</v>
      </c>
      <c r="S13" s="119">
        <v>4647467.6640000008</v>
      </c>
      <c r="T13" s="119">
        <v>6400000</v>
      </c>
      <c r="U13" s="119">
        <v>9000000</v>
      </c>
      <c r="V13" s="2">
        <v>7600000</v>
      </c>
      <c r="W13" s="2">
        <v>11300000</v>
      </c>
      <c r="X13" s="2">
        <f>AVERAGE(12300000, 10800000)</f>
        <v>11550000</v>
      </c>
      <c r="Y13" s="2">
        <v>13900000</v>
      </c>
      <c r="Z13" s="1" t="s">
        <v>38</v>
      </c>
      <c r="AA13" s="121">
        <f t="shared" si="0"/>
        <v>0.54444444444444451</v>
      </c>
    </row>
    <row r="14" spans="2:28">
      <c r="B14" s="123" t="s">
        <v>39</v>
      </c>
      <c r="C14" s="119">
        <v>25786000</v>
      </c>
      <c r="D14" s="119">
        <v>25689400</v>
      </c>
      <c r="E14" s="119">
        <v>25780499.999999993</v>
      </c>
      <c r="F14" s="119">
        <v>20853985.714285716</v>
      </c>
      <c r="G14" s="119">
        <v>22630171.428571429</v>
      </c>
      <c r="H14" s="119">
        <v>19497385.714285713</v>
      </c>
      <c r="I14" s="119">
        <v>27080223.954372607</v>
      </c>
      <c r="J14" s="119">
        <v>27320887.206951834</v>
      </c>
      <c r="K14" s="119">
        <v>31332091.031390134</v>
      </c>
      <c r="L14" s="119">
        <v>35193221.761658028</v>
      </c>
      <c r="M14" s="119">
        <v>36110300</v>
      </c>
      <c r="N14" s="119">
        <v>26019375.734909087</v>
      </c>
      <c r="O14" s="119">
        <v>20847645.580628723</v>
      </c>
      <c r="P14" s="119">
        <v>17982699.99000001</v>
      </c>
      <c r="Q14" s="119">
        <v>17242610.299999997</v>
      </c>
      <c r="R14" s="119">
        <v>15641299.647727266</v>
      </c>
      <c r="S14" s="119">
        <v>22238632.335999995</v>
      </c>
      <c r="T14" s="119">
        <f>T16-T15</f>
        <v>32650000</v>
      </c>
      <c r="U14" s="119">
        <v>26962400</v>
      </c>
      <c r="V14" s="4">
        <f t="shared" ref="V14" si="1">V16-V15</f>
        <v>44100000</v>
      </c>
      <c r="W14" s="4">
        <f>W16-W15</f>
        <v>52500000</v>
      </c>
      <c r="X14" s="4">
        <f>X16-X15</f>
        <v>57350000</v>
      </c>
      <c r="Y14" s="4">
        <f>Y16-Y15</f>
        <v>75350000</v>
      </c>
      <c r="Z14" s="1" t="s">
        <v>39</v>
      </c>
      <c r="AA14" s="121">
        <f t="shared" si="0"/>
        <v>1.7946325252944844</v>
      </c>
    </row>
    <row r="15" spans="2:28">
      <c r="B15" s="123" t="s">
        <v>40</v>
      </c>
      <c r="C15" s="119">
        <v>6486700</v>
      </c>
      <c r="D15" s="119">
        <v>10868000</v>
      </c>
      <c r="E15" s="119">
        <v>12362400</v>
      </c>
      <c r="F15" s="119">
        <v>15653414.285714285</v>
      </c>
      <c r="G15" s="119">
        <v>18332628.571428571</v>
      </c>
      <c r="H15" s="119">
        <v>21570214.285714287</v>
      </c>
      <c r="I15" s="119">
        <v>26755076.045627378</v>
      </c>
      <c r="J15" s="119">
        <v>27184612.793048166</v>
      </c>
      <c r="K15" s="119">
        <v>30726008.968609866</v>
      </c>
      <c r="L15" s="119">
        <v>45939378.238341972</v>
      </c>
      <c r="M15" s="119">
        <v>65040000</v>
      </c>
      <c r="N15" s="119">
        <v>73755624.265090913</v>
      </c>
      <c r="O15" s="119">
        <v>86892754.419371277</v>
      </c>
      <c r="P15" s="119">
        <v>97202700.00999999</v>
      </c>
      <c r="Q15" s="119">
        <v>131799189.7</v>
      </c>
      <c r="R15" s="119">
        <v>128750400.35227273</v>
      </c>
      <c r="S15" s="119">
        <v>131447467.664</v>
      </c>
      <c r="T15" s="119">
        <f>SUM(T3:T13)</f>
        <v>143600000</v>
      </c>
      <c r="U15" s="119">
        <v>180700000</v>
      </c>
      <c r="V15" s="4">
        <f>SUM(V3:V13)</f>
        <v>172100000</v>
      </c>
      <c r="W15" s="2">
        <f>SUM(W3:W13)</f>
        <v>181500000</v>
      </c>
      <c r="X15" s="2">
        <f>SUM(X3:X13)</f>
        <v>197550000</v>
      </c>
      <c r="Y15" s="2">
        <f>SUM(Y3:Y13)</f>
        <v>214100000</v>
      </c>
      <c r="Z15" s="1" t="s">
        <v>40</v>
      </c>
      <c r="AA15" s="121">
        <f t="shared" si="0"/>
        <v>0.18483674598782507</v>
      </c>
    </row>
    <row r="16" spans="2:28">
      <c r="B16" s="123" t="s">
        <v>41</v>
      </c>
      <c r="C16" s="119">
        <v>32272700</v>
      </c>
      <c r="D16" s="119">
        <v>36557400</v>
      </c>
      <c r="E16" s="119">
        <v>38142899.999999993</v>
      </c>
      <c r="F16" s="119">
        <v>36507400</v>
      </c>
      <c r="G16" s="119">
        <v>40962800</v>
      </c>
      <c r="H16" s="119">
        <v>41067600</v>
      </c>
      <c r="I16" s="119">
        <v>53835299.999999985</v>
      </c>
      <c r="J16" s="119">
        <v>54505500</v>
      </c>
      <c r="K16" s="119">
        <v>62058100</v>
      </c>
      <c r="L16" s="119">
        <v>81132600</v>
      </c>
      <c r="M16" s="119">
        <v>101150300</v>
      </c>
      <c r="N16" s="119">
        <v>99775000</v>
      </c>
      <c r="O16" s="119">
        <v>107740400</v>
      </c>
      <c r="P16" s="119">
        <v>115185400</v>
      </c>
      <c r="Q16" s="119">
        <v>149041800</v>
      </c>
      <c r="R16" s="119">
        <v>144391700</v>
      </c>
      <c r="S16" s="119">
        <v>153686100</v>
      </c>
      <c r="T16" s="119">
        <f>AVERAGE(172800000, 179700000)</f>
        <v>176250000</v>
      </c>
      <c r="U16" s="119">
        <v>207662400</v>
      </c>
      <c r="V16" s="118">
        <v>216200000</v>
      </c>
      <c r="W16" s="125">
        <v>234000000</v>
      </c>
      <c r="X16" s="125">
        <f>AVERAGE(258400000, 251400000)</f>
        <v>254900000</v>
      </c>
      <c r="Y16" s="125">
        <v>289450000</v>
      </c>
      <c r="Z16" s="126" t="s">
        <v>41</v>
      </c>
      <c r="AA16" s="121">
        <f t="shared" si="0"/>
        <v>0.39384886238433148</v>
      </c>
    </row>
    <row r="17" spans="9:26">
      <c r="I17" s="1">
        <f>I6/0.35</f>
        <v>7142857.1428571437</v>
      </c>
      <c r="J17" s="127">
        <f>SUM(J3:J5)/$M$18</f>
        <v>0.18179528088000671</v>
      </c>
      <c r="K17" s="127">
        <f>SUM(K3:K5)/$M$18</f>
        <v>0.18977244101100008</v>
      </c>
      <c r="L17" s="127">
        <f>SUM(L3:L5)/$M$18</f>
        <v>0.28297925938365942</v>
      </c>
      <c r="M17" s="127">
        <f>SUM(M3:M5)/$M$18</f>
        <v>0.34545301872533379</v>
      </c>
      <c r="N17" s="121">
        <f>SUM(N3:N5)/$Q$18</f>
        <v>0.18421217290504449</v>
      </c>
      <c r="O17" s="121">
        <f>SUM(O3:O5)/$Q$18</f>
        <v>0.21710279327401222</v>
      </c>
      <c r="P17" s="121">
        <f>SUM(P3:P5)/$Q$18</f>
        <v>0.23791732804668411</v>
      </c>
      <c r="Q17" s="121">
        <f>SUM(Q3:Q5)/$Q$18</f>
        <v>0.36076770577425921</v>
      </c>
      <c r="R17" s="121">
        <f t="shared" ref="R17:V17" si="2">R16/N16-1</f>
        <v>0.44717313956401905</v>
      </c>
      <c r="S17" s="121">
        <f t="shared" si="2"/>
        <v>0.42644820327379507</v>
      </c>
      <c r="T17" s="121">
        <f t="shared" si="2"/>
        <v>0.53014184089302985</v>
      </c>
      <c r="U17" s="121">
        <f t="shared" si="2"/>
        <v>0.39331650583930156</v>
      </c>
      <c r="V17" s="121">
        <f t="shared" si="2"/>
        <v>0.49731598145876799</v>
      </c>
      <c r="W17" s="121">
        <f>W16/S16-1</f>
        <v>0.5225840202855041</v>
      </c>
      <c r="X17" s="121">
        <f>X16/T16-1</f>
        <v>0.44624113475177296</v>
      </c>
      <c r="Y17" s="121">
        <f>Y16/U16-1</f>
        <v>0.39384886238433148</v>
      </c>
    </row>
    <row r="18" spans="9:26">
      <c r="M18" s="2">
        <f>SUM(J3:M5)</f>
        <v>119090000</v>
      </c>
      <c r="Q18" s="2">
        <f>SUM(N3:Q5)</f>
        <v>242926400</v>
      </c>
      <c r="W18" s="2"/>
      <c r="X18" s="2">
        <f>SUM(R16:U16)</f>
        <v>681990200</v>
      </c>
      <c r="Y18" s="125">
        <f>SUM(V16:Y16)</f>
        <v>994550000</v>
      </c>
    </row>
    <row r="19" spans="9:26"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>
        <f>Y18/X18-1</f>
        <v>0.45830541259977053</v>
      </c>
    </row>
    <row r="20" spans="9:26">
      <c r="W20" s="121"/>
      <c r="X20" s="126">
        <v>2012</v>
      </c>
      <c r="Y20" s="128">
        <v>2013</v>
      </c>
      <c r="Z20" s="1" t="s">
        <v>42</v>
      </c>
    </row>
    <row r="21" spans="9:26">
      <c r="V21" s="1" t="s">
        <v>43</v>
      </c>
      <c r="W21" s="117" t="s">
        <v>28</v>
      </c>
      <c r="X21" s="125">
        <f>SUM(R3:U3)</f>
        <v>135764000</v>
      </c>
      <c r="Y21" s="125">
        <f>SUM(V3:Y3)</f>
        <v>153400000</v>
      </c>
      <c r="Z21" s="121">
        <f>Y21/X21-1</f>
        <v>0.12990188857134433</v>
      </c>
    </row>
    <row r="22" spans="9:26">
      <c r="W22" s="117" t="s">
        <v>29</v>
      </c>
      <c r="X22" s="125">
        <f t="shared" ref="X22:X31" si="3">SUM(R4:U4)</f>
        <v>32100000</v>
      </c>
      <c r="Y22" s="125">
        <f t="shared" ref="Y22:Y31" si="4">SUM(V4:Y4)</f>
        <v>20400000</v>
      </c>
      <c r="Z22" s="121">
        <f t="shared" ref="Z22:Z33" si="5">Y22/X22-1</f>
        <v>-0.36448598130841126</v>
      </c>
    </row>
    <row r="23" spans="9:26">
      <c r="Q23" s="1">
        <f>0.35+0.25+0.22+0.18</f>
        <v>1</v>
      </c>
      <c r="W23" s="123" t="s">
        <v>30</v>
      </c>
      <c r="X23" s="125">
        <f t="shared" si="3"/>
        <v>212800000</v>
      </c>
      <c r="Y23" s="125">
        <f t="shared" si="4"/>
        <v>306100000</v>
      </c>
      <c r="Z23" s="121">
        <f t="shared" si="5"/>
        <v>0.43843984962406024</v>
      </c>
    </row>
    <row r="24" spans="9:26">
      <c r="W24" s="123" t="s">
        <v>31</v>
      </c>
      <c r="X24" s="125">
        <f t="shared" si="3"/>
        <v>20000000</v>
      </c>
      <c r="Y24" s="125">
        <f t="shared" si="4"/>
        <v>9100000</v>
      </c>
      <c r="Z24" s="121">
        <f t="shared" si="5"/>
        <v>-0.54499999999999993</v>
      </c>
    </row>
    <row r="25" spans="9:26">
      <c r="W25" s="123" t="s">
        <v>32</v>
      </c>
      <c r="X25" s="125">
        <f t="shared" si="3"/>
        <v>13300000</v>
      </c>
      <c r="Y25" s="125">
        <f t="shared" si="4"/>
        <v>30000000</v>
      </c>
      <c r="Z25" s="121">
        <f t="shared" si="5"/>
        <v>1.255639097744361</v>
      </c>
    </row>
    <row r="26" spans="9:26">
      <c r="W26" s="123" t="s">
        <v>33</v>
      </c>
      <c r="X26" s="125">
        <f t="shared" si="3"/>
        <v>30200000</v>
      </c>
      <c r="Y26" s="125">
        <f t="shared" si="4"/>
        <v>20000000</v>
      </c>
      <c r="Z26" s="121">
        <f t="shared" si="5"/>
        <v>-0.33774834437086088</v>
      </c>
    </row>
    <row r="27" spans="9:26">
      <c r="W27" s="123" t="s">
        <v>34</v>
      </c>
      <c r="X27" s="125">
        <f t="shared" si="3"/>
        <v>26400000</v>
      </c>
      <c r="Y27" s="125">
        <f t="shared" si="4"/>
        <v>47600000</v>
      </c>
      <c r="Z27" s="121">
        <f t="shared" si="5"/>
        <v>0.80303030303030298</v>
      </c>
    </row>
    <row r="28" spans="9:26">
      <c r="W28" s="123" t="s">
        <v>35</v>
      </c>
      <c r="X28" s="125">
        <f t="shared" si="3"/>
        <v>32900000</v>
      </c>
      <c r="Y28" s="125">
        <f t="shared" si="4"/>
        <v>41100000</v>
      </c>
      <c r="Z28" s="121">
        <f t="shared" si="5"/>
        <v>0.24924012158054709</v>
      </c>
    </row>
    <row r="29" spans="9:26">
      <c r="W29" s="123" t="s">
        <v>36</v>
      </c>
      <c r="X29" s="125">
        <f t="shared" si="3"/>
        <v>31500000</v>
      </c>
      <c r="Y29" s="125">
        <f t="shared" si="4"/>
        <v>50400000</v>
      </c>
      <c r="Z29" s="121">
        <f t="shared" si="5"/>
        <v>0.60000000000000009</v>
      </c>
    </row>
    <row r="30" spans="9:26">
      <c r="W30" s="123" t="s">
        <v>37</v>
      </c>
      <c r="X30" s="125">
        <f t="shared" si="3"/>
        <v>26000000</v>
      </c>
      <c r="Y30" s="125">
        <f t="shared" si="4"/>
        <v>42800000</v>
      </c>
      <c r="Z30" s="121">
        <f t="shared" si="5"/>
        <v>0.64615384615384608</v>
      </c>
    </row>
    <row r="31" spans="9:26">
      <c r="W31" s="123" t="s">
        <v>38</v>
      </c>
      <c r="X31" s="125">
        <f t="shared" si="3"/>
        <v>23033868.016272727</v>
      </c>
      <c r="Y31" s="125">
        <f t="shared" si="4"/>
        <v>44350000</v>
      </c>
      <c r="Z31" s="121">
        <f t="shared" si="5"/>
        <v>0.92542563709525782</v>
      </c>
    </row>
    <row r="32" spans="9:26">
      <c r="W32" s="123" t="s">
        <v>39</v>
      </c>
      <c r="X32" s="125">
        <f t="shared" ref="X32" si="6">SUM(R14:U14)</f>
        <v>97492331.983727261</v>
      </c>
      <c r="Y32" s="125">
        <f t="shared" ref="Y32" si="7">SUM(V14:Y14)</f>
        <v>229300000</v>
      </c>
      <c r="Z32" s="121">
        <f t="shared" si="5"/>
        <v>1.3519798463562567</v>
      </c>
    </row>
    <row r="33" spans="22:26">
      <c r="W33" s="123" t="s">
        <v>44</v>
      </c>
      <c r="X33" s="4">
        <f>SUM(X21:X32)</f>
        <v>681490200</v>
      </c>
      <c r="Y33" s="4">
        <f>SUM(Y21:Y32)</f>
        <v>994550000</v>
      </c>
      <c r="Z33" s="129">
        <f t="shared" si="5"/>
        <v>0.45937535125229978</v>
      </c>
    </row>
    <row r="34" spans="22:26">
      <c r="V34" s="1" t="s">
        <v>45</v>
      </c>
      <c r="W34" s="117" t="s">
        <v>28</v>
      </c>
      <c r="X34" s="121">
        <f>X21/$X$33</f>
        <v>0.19921636437325144</v>
      </c>
      <c r="Y34" s="130">
        <f>Y21/$Y$33</f>
        <v>0.15424061133175809</v>
      </c>
    </row>
    <row r="35" spans="22:26">
      <c r="W35" s="117" t="s">
        <v>29</v>
      </c>
      <c r="X35" s="121">
        <f t="shared" ref="X35:X46" si="8">X22/$X$33</f>
        <v>4.7102658262730704E-2</v>
      </c>
      <c r="Y35" s="130">
        <f t="shared" ref="Y35:Y46" si="9">Y22/$Y$33</f>
        <v>2.0511789251420241E-2</v>
      </c>
    </row>
    <row r="36" spans="22:26">
      <c r="W36" s="123" t="s">
        <v>30</v>
      </c>
      <c r="X36" s="121">
        <f t="shared" si="8"/>
        <v>0.31225687471367891</v>
      </c>
      <c r="Y36" s="130">
        <f t="shared" si="9"/>
        <v>0.30777738675783017</v>
      </c>
    </row>
    <row r="37" spans="22:26">
      <c r="W37" s="123" t="s">
        <v>31</v>
      </c>
      <c r="X37" s="121">
        <f t="shared" si="8"/>
        <v>2.9347450630984862E-2</v>
      </c>
      <c r="Y37" s="130">
        <f t="shared" si="9"/>
        <v>9.149866773917853E-3</v>
      </c>
    </row>
    <row r="38" spans="22:26">
      <c r="W38" s="123" t="s">
        <v>32</v>
      </c>
      <c r="X38" s="121">
        <f t="shared" si="8"/>
        <v>1.9516054669604932E-2</v>
      </c>
      <c r="Y38" s="130">
        <f t="shared" si="9"/>
        <v>3.0164395957970942E-2</v>
      </c>
    </row>
    <row r="39" spans="22:26">
      <c r="W39" s="123" t="s">
        <v>33</v>
      </c>
      <c r="X39" s="121">
        <f t="shared" si="8"/>
        <v>4.4314650452787145E-2</v>
      </c>
      <c r="Y39" s="130">
        <f t="shared" si="9"/>
        <v>2.0109597305313962E-2</v>
      </c>
    </row>
    <row r="40" spans="22:26">
      <c r="W40" s="123" t="s">
        <v>34</v>
      </c>
      <c r="X40" s="121">
        <f t="shared" si="8"/>
        <v>3.8738634832900021E-2</v>
      </c>
      <c r="Y40" s="130">
        <f t="shared" si="9"/>
        <v>4.7860841586647225E-2</v>
      </c>
    </row>
    <row r="41" spans="22:26">
      <c r="W41" s="123" t="s">
        <v>35</v>
      </c>
      <c r="X41" s="121">
        <f t="shared" si="8"/>
        <v>4.8276556287970097E-2</v>
      </c>
      <c r="Y41" s="130">
        <f t="shared" si="9"/>
        <v>4.1325222462420187E-2</v>
      </c>
    </row>
    <row r="42" spans="22:26">
      <c r="W42" s="123" t="s">
        <v>36</v>
      </c>
      <c r="X42" s="121">
        <f t="shared" si="8"/>
        <v>4.622223474380116E-2</v>
      </c>
      <c r="Y42" s="130">
        <f t="shared" si="9"/>
        <v>5.0676185209391184E-2</v>
      </c>
    </row>
    <row r="43" spans="22:26">
      <c r="W43" s="123" t="s">
        <v>37</v>
      </c>
      <c r="X43" s="121">
        <f t="shared" si="8"/>
        <v>3.8151685820280321E-2</v>
      </c>
      <c r="Y43" s="130">
        <f t="shared" si="9"/>
        <v>4.3034538233371875E-2</v>
      </c>
    </row>
    <row r="44" spans="22:26">
      <c r="W44" s="123" t="s">
        <v>38</v>
      </c>
      <c r="X44" s="121">
        <f t="shared" si="8"/>
        <v>3.3799265222409253E-2</v>
      </c>
      <c r="Y44" s="130">
        <f t="shared" si="9"/>
        <v>4.4593032024533706E-2</v>
      </c>
    </row>
    <row r="45" spans="22:26">
      <c r="W45" s="123" t="s">
        <v>39</v>
      </c>
      <c r="X45" s="121">
        <f t="shared" si="8"/>
        <v>0.14305756998960112</v>
      </c>
      <c r="Y45" s="130">
        <f t="shared" si="9"/>
        <v>0.23055653310542457</v>
      </c>
    </row>
    <row r="46" spans="22:26">
      <c r="W46" s="123" t="s">
        <v>44</v>
      </c>
      <c r="X46" s="121">
        <f t="shared" si="8"/>
        <v>1</v>
      </c>
      <c r="Y46" s="121">
        <f t="shared" si="9"/>
        <v>1</v>
      </c>
    </row>
  </sheetData>
  <pageMargins left="0.75" right="0.75" top="1" bottom="1" header="0.5" footer="0.5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4"/>
  <sheetViews>
    <sheetView topLeftCell="A6" workbookViewId="0">
      <selection activeCell="I16" sqref="I16"/>
    </sheetView>
  </sheetViews>
  <sheetFormatPr baseColWidth="10" defaultRowHeight="15" x14ac:dyDescent="0"/>
  <cols>
    <col min="1" max="1" width="10.83203125" style="1"/>
    <col min="2" max="2" width="18.33203125" style="1" customWidth="1"/>
    <col min="3" max="16384" width="10.83203125" style="1"/>
  </cols>
  <sheetData>
    <row r="2" spans="2:19">
      <c r="C2" s="1" t="s">
        <v>68</v>
      </c>
      <c r="D2" s="1" t="s">
        <v>67</v>
      </c>
      <c r="E2" s="1" t="s">
        <v>66</v>
      </c>
      <c r="F2" s="1" t="s">
        <v>65</v>
      </c>
      <c r="G2" s="1" t="s">
        <v>64</v>
      </c>
      <c r="H2" s="1" t="s">
        <v>63</v>
      </c>
      <c r="I2" s="1" t="s">
        <v>62</v>
      </c>
      <c r="J2" s="1" t="s">
        <v>61</v>
      </c>
      <c r="K2" s="1" t="s">
        <v>60</v>
      </c>
      <c r="L2" s="1" t="s">
        <v>59</v>
      </c>
      <c r="M2" s="1" t="s">
        <v>58</v>
      </c>
      <c r="N2" s="1" t="s">
        <v>57</v>
      </c>
      <c r="O2" s="1" t="s">
        <v>56</v>
      </c>
      <c r="P2" s="1" t="s">
        <v>55</v>
      </c>
    </row>
    <row r="3" spans="2:19">
      <c r="B3" s="1" t="s">
        <v>146</v>
      </c>
      <c r="L3" s="44">
        <f>60*0.5</f>
        <v>30</v>
      </c>
      <c r="M3" s="44">
        <f>M4*0.14</f>
        <v>152.04000000000002</v>
      </c>
      <c r="N3" s="44">
        <f>N4*0.23</f>
        <v>305.90000000000003</v>
      </c>
      <c r="O3" s="44">
        <v>375</v>
      </c>
      <c r="P3" s="44">
        <v>656</v>
      </c>
    </row>
    <row r="4" spans="2:19">
      <c r="B4" s="1" t="s">
        <v>182</v>
      </c>
      <c r="C4" s="136">
        <v>340</v>
      </c>
      <c r="D4" s="136">
        <v>424</v>
      </c>
      <c r="E4" s="136">
        <v>450</v>
      </c>
      <c r="F4" s="136">
        <v>655</v>
      </c>
      <c r="G4" s="136">
        <v>637</v>
      </c>
      <c r="H4" s="136">
        <v>776</v>
      </c>
      <c r="I4" s="136">
        <v>798</v>
      </c>
      <c r="J4" s="136">
        <v>943</v>
      </c>
      <c r="K4" s="136">
        <v>872</v>
      </c>
      <c r="L4" s="136">
        <v>992</v>
      </c>
      <c r="M4" s="136">
        <v>1086</v>
      </c>
      <c r="N4" s="136">
        <v>1330</v>
      </c>
      <c r="O4" s="136">
        <v>1250</v>
      </c>
      <c r="P4" s="136">
        <v>1600</v>
      </c>
    </row>
    <row r="6" spans="2:19">
      <c r="C6" s="44">
        <f t="shared" ref="C6:K6" si="0">C4</f>
        <v>340</v>
      </c>
      <c r="D6" s="44">
        <f t="shared" si="0"/>
        <v>424</v>
      </c>
      <c r="E6" s="44">
        <f t="shared" si="0"/>
        <v>450</v>
      </c>
      <c r="F6" s="44">
        <f t="shared" si="0"/>
        <v>655</v>
      </c>
      <c r="G6" s="44">
        <f t="shared" si="0"/>
        <v>637</v>
      </c>
      <c r="H6" s="44">
        <f t="shared" si="0"/>
        <v>776</v>
      </c>
      <c r="I6" s="44">
        <f t="shared" si="0"/>
        <v>798</v>
      </c>
      <c r="J6" s="44">
        <f t="shared" si="0"/>
        <v>943</v>
      </c>
      <c r="K6" s="44">
        <f t="shared" si="0"/>
        <v>872</v>
      </c>
      <c r="L6" s="44">
        <f>L4-L3</f>
        <v>962</v>
      </c>
      <c r="M6" s="44">
        <f>M4-M3</f>
        <v>933.96</v>
      </c>
      <c r="N6" s="44">
        <f>N4-N3</f>
        <v>1024.0999999999999</v>
      </c>
      <c r="R6" s="1">
        <v>2590</v>
      </c>
    </row>
    <row r="7" spans="2:19">
      <c r="G7" s="37">
        <f t="shared" ref="G7:L7" si="1">G4/C4-1</f>
        <v>0.87352941176470589</v>
      </c>
      <c r="H7" s="37">
        <f t="shared" si="1"/>
        <v>0.83018867924528306</v>
      </c>
      <c r="I7" s="37">
        <f t="shared" si="1"/>
        <v>0.77333333333333343</v>
      </c>
      <c r="J7" s="37">
        <f t="shared" si="1"/>
        <v>0.43969465648854955</v>
      </c>
      <c r="K7" s="37">
        <f t="shared" si="1"/>
        <v>0.36891679748822614</v>
      </c>
      <c r="L7" s="37">
        <f t="shared" si="1"/>
        <v>0.27835051546391743</v>
      </c>
      <c r="M7" s="37">
        <f>M6/I4-1</f>
        <v>0.17037593984962407</v>
      </c>
      <c r="N7" s="37">
        <f>N6/J4-1</f>
        <v>8.600212089077397E-2</v>
      </c>
    </row>
    <row r="9" spans="2:19">
      <c r="C9" s="1" t="s">
        <v>68</v>
      </c>
      <c r="D9" s="1" t="s">
        <v>67</v>
      </c>
      <c r="E9" s="1" t="s">
        <v>66</v>
      </c>
      <c r="F9" s="1" t="s">
        <v>65</v>
      </c>
      <c r="G9" s="1" t="s">
        <v>64</v>
      </c>
      <c r="H9" s="1" t="s">
        <v>63</v>
      </c>
      <c r="I9" s="1" t="s">
        <v>62</v>
      </c>
      <c r="J9" s="1" t="s">
        <v>61</v>
      </c>
      <c r="K9" s="1" t="s">
        <v>60</v>
      </c>
      <c r="L9" s="1" t="s">
        <v>59</v>
      </c>
      <c r="M9" s="1" t="s">
        <v>58</v>
      </c>
      <c r="N9" s="1" t="s">
        <v>57</v>
      </c>
      <c r="O9" s="1" t="s">
        <v>56</v>
      </c>
      <c r="P9" s="1" t="s">
        <v>55</v>
      </c>
      <c r="Q9" s="1" t="s">
        <v>54</v>
      </c>
      <c r="R9" s="1" t="s">
        <v>53</v>
      </c>
    </row>
    <row r="10" spans="2:19">
      <c r="B10" s="1" t="s">
        <v>183</v>
      </c>
      <c r="C10" s="136">
        <v>340</v>
      </c>
      <c r="D10" s="136">
        <v>424</v>
      </c>
      <c r="E10" s="136">
        <v>450</v>
      </c>
      <c r="F10" s="136">
        <v>655</v>
      </c>
      <c r="G10" s="136">
        <v>637</v>
      </c>
      <c r="H10" s="136">
        <v>776</v>
      </c>
      <c r="I10" s="136">
        <v>798</v>
      </c>
      <c r="J10" s="136">
        <v>943</v>
      </c>
      <c r="K10" s="136">
        <v>872</v>
      </c>
      <c r="L10" s="136">
        <v>992</v>
      </c>
      <c r="M10" s="136">
        <v>1086</v>
      </c>
      <c r="N10" s="136">
        <v>1330</v>
      </c>
      <c r="O10" s="136">
        <v>1250</v>
      </c>
      <c r="P10" s="136">
        <v>1600</v>
      </c>
      <c r="Q10" s="136">
        <v>1800</v>
      </c>
      <c r="R10" s="136">
        <v>2344</v>
      </c>
    </row>
    <row r="11" spans="2:19">
      <c r="B11" s="1" t="s">
        <v>184</v>
      </c>
      <c r="L11" s="44">
        <f>60*0.5</f>
        <v>30</v>
      </c>
      <c r="M11" s="44">
        <v>152</v>
      </c>
      <c r="N11" s="44">
        <v>306</v>
      </c>
      <c r="O11" s="44">
        <v>375</v>
      </c>
      <c r="P11" s="44">
        <v>656</v>
      </c>
      <c r="Q11" s="44">
        <v>882</v>
      </c>
      <c r="R11" s="44">
        <f>0.53*R10</f>
        <v>1242.3200000000002</v>
      </c>
      <c r="S11" s="37">
        <f>R11/N11-1</f>
        <v>3.059869281045752</v>
      </c>
    </row>
    <row r="12" spans="2:19">
      <c r="E12" s="1" t="s">
        <v>185</v>
      </c>
      <c r="F12" s="1" t="s">
        <v>183</v>
      </c>
      <c r="G12" s="37">
        <f>G10/C10-1</f>
        <v>0.87352941176470589</v>
      </c>
      <c r="H12" s="37">
        <f t="shared" ref="H12:R13" si="2">H10/D10-1</f>
        <v>0.83018867924528306</v>
      </c>
      <c r="I12" s="37">
        <f t="shared" si="2"/>
        <v>0.77333333333333343</v>
      </c>
      <c r="J12" s="37">
        <f t="shared" si="2"/>
        <v>0.43969465648854955</v>
      </c>
      <c r="K12" s="37">
        <f t="shared" si="2"/>
        <v>0.36891679748822614</v>
      </c>
      <c r="L12" s="37">
        <f t="shared" si="2"/>
        <v>0.27835051546391743</v>
      </c>
      <c r="M12" s="37">
        <f t="shared" si="2"/>
        <v>0.36090225563909772</v>
      </c>
      <c r="N12" s="37">
        <f t="shared" si="2"/>
        <v>0.41039236479321306</v>
      </c>
      <c r="O12" s="37">
        <f t="shared" si="2"/>
        <v>0.4334862385321101</v>
      </c>
      <c r="P12" s="37">
        <f t="shared" si="2"/>
        <v>0.61290322580645151</v>
      </c>
      <c r="Q12" s="37">
        <f t="shared" si="2"/>
        <v>0.65745856353591159</v>
      </c>
      <c r="R12" s="37">
        <f t="shared" si="2"/>
        <v>0.76240601503759398</v>
      </c>
    </row>
    <row r="13" spans="2:19">
      <c r="F13" s="1" t="s">
        <v>184</v>
      </c>
      <c r="G13" s="37"/>
      <c r="H13" s="37"/>
      <c r="I13" s="37"/>
      <c r="J13" s="37"/>
      <c r="K13" s="37"/>
      <c r="L13" s="37"/>
      <c r="M13" s="37"/>
      <c r="N13" s="37"/>
      <c r="O13" s="37"/>
      <c r="P13" s="37">
        <f t="shared" si="2"/>
        <v>20.866666666666667</v>
      </c>
      <c r="Q13" s="37">
        <f t="shared" si="2"/>
        <v>4.8026315789473681</v>
      </c>
      <c r="R13" s="37">
        <f t="shared" si="2"/>
        <v>3.059869281045752</v>
      </c>
    </row>
    <row r="14" spans="2:19">
      <c r="E14" s="1" t="s">
        <v>186</v>
      </c>
      <c r="L14" s="37">
        <f>L11/L10</f>
        <v>3.0241935483870969E-2</v>
      </c>
      <c r="M14" s="37">
        <f t="shared" ref="M14:R14" si="3">M11/M10</f>
        <v>0.13996316758747698</v>
      </c>
      <c r="N14" s="37">
        <f t="shared" si="3"/>
        <v>0.23007518796992482</v>
      </c>
      <c r="O14" s="37">
        <f t="shared" si="3"/>
        <v>0.3</v>
      </c>
      <c r="P14" s="37">
        <f t="shared" si="3"/>
        <v>0.41</v>
      </c>
      <c r="Q14" s="37">
        <f t="shared" si="3"/>
        <v>0.49</v>
      </c>
      <c r="R14" s="37">
        <f t="shared" si="3"/>
        <v>0.53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O11"/>
  <sheetViews>
    <sheetView topLeftCell="B1" workbookViewId="0">
      <selection activeCell="N10" sqref="N10"/>
    </sheetView>
  </sheetViews>
  <sheetFormatPr baseColWidth="10" defaultRowHeight="15" x14ac:dyDescent="0"/>
  <cols>
    <col min="1" max="10" width="10.83203125" style="1"/>
    <col min="11" max="11" width="13.5" style="1" customWidth="1"/>
    <col min="12" max="16384" width="10.83203125" style="1"/>
  </cols>
  <sheetData>
    <row r="6" spans="4:15">
      <c r="E6" s="1" t="s">
        <v>16</v>
      </c>
      <c r="F6" s="1" t="s">
        <v>17</v>
      </c>
      <c r="G6" s="1" t="s">
        <v>18</v>
      </c>
      <c r="H6" s="1" t="s">
        <v>19</v>
      </c>
      <c r="I6" s="1" t="s">
        <v>20</v>
      </c>
      <c r="J6" s="1" t="s">
        <v>21</v>
      </c>
      <c r="K6" s="1" t="s">
        <v>187</v>
      </c>
      <c r="L6" s="1" t="s">
        <v>23</v>
      </c>
      <c r="M6" s="1" t="s">
        <v>24</v>
      </c>
      <c r="N6" s="1" t="s">
        <v>25</v>
      </c>
      <c r="O6" s="1" t="s">
        <v>26</v>
      </c>
    </row>
    <row r="7" spans="4:15">
      <c r="D7" s="1" t="s">
        <v>188</v>
      </c>
      <c r="E7" s="34">
        <v>0.94120000000000004</v>
      </c>
      <c r="F7" s="34">
        <f>1-SUM(F8:F9)</f>
        <v>0.93469999999999998</v>
      </c>
      <c r="G7" s="34">
        <f t="shared" ref="G7:I7" si="0">1-SUM(G8:G9)</f>
        <v>0.92359999999999998</v>
      </c>
      <c r="H7" s="34">
        <f t="shared" si="0"/>
        <v>0.91639999999999999</v>
      </c>
      <c r="I7" s="34">
        <f t="shared" si="0"/>
        <v>0.87819999999999998</v>
      </c>
      <c r="J7" s="34">
        <v>0.84799999999999998</v>
      </c>
      <c r="K7" s="34">
        <v>0.82540000000000002</v>
      </c>
      <c r="L7" s="34">
        <v>0.80920000000000003</v>
      </c>
      <c r="M7" s="35">
        <v>0.78879999999999995</v>
      </c>
      <c r="N7" s="35">
        <v>0.77869999999999995</v>
      </c>
      <c r="O7" s="36">
        <v>0.75290000000000001</v>
      </c>
    </row>
    <row r="8" spans="4:15">
      <c r="D8" s="1" t="s">
        <v>81</v>
      </c>
      <c r="E8" s="34">
        <v>1.66E-2</v>
      </c>
      <c r="F8" s="34">
        <v>2.2599999999999999E-2</v>
      </c>
      <c r="G8" s="34">
        <v>3.1699999999999999E-2</v>
      </c>
      <c r="H8" s="34">
        <v>4.0599999999999997E-2</v>
      </c>
      <c r="I8" s="34">
        <v>6.1199999999999997E-2</v>
      </c>
      <c r="J8" s="34">
        <v>7.3099999999999998E-2</v>
      </c>
      <c r="K8" s="34">
        <v>8.5500000000000007E-2</v>
      </c>
      <c r="L8" s="34">
        <v>9.5699999999999993E-2</v>
      </c>
      <c r="M8" s="34">
        <v>0.1149</v>
      </c>
      <c r="N8" s="34">
        <v>0.1244</v>
      </c>
      <c r="O8" s="36">
        <v>0.14649999999999999</v>
      </c>
    </row>
    <row r="9" spans="4:15">
      <c r="D9" s="1" t="s">
        <v>140</v>
      </c>
      <c r="E9" s="34">
        <v>4.2299999999999997E-2</v>
      </c>
      <c r="F9" s="34">
        <v>4.2700000000000002E-2</v>
      </c>
      <c r="G9" s="34">
        <v>4.4699999999999997E-2</v>
      </c>
      <c r="H9" s="34">
        <v>4.2999999999999997E-2</v>
      </c>
      <c r="I9" s="34">
        <v>6.0600000000000001E-2</v>
      </c>
      <c r="J9" s="34">
        <v>7.8899999999999998E-2</v>
      </c>
      <c r="K9" s="34">
        <v>8.9099999999999999E-2</v>
      </c>
      <c r="L9" s="34">
        <v>9.5100000000000004E-2</v>
      </c>
      <c r="M9" s="34">
        <v>9.6300000000000011E-2</v>
      </c>
      <c r="N9" s="34">
        <v>9.69E-2</v>
      </c>
      <c r="O9" s="36">
        <v>0.10059999999999999</v>
      </c>
    </row>
    <row r="10" spans="4:15">
      <c r="E10" s="37">
        <f>SUM(E8:E9)</f>
        <v>5.8899999999999994E-2</v>
      </c>
      <c r="F10" s="37">
        <f t="shared" ref="F10:J10" si="1">SUM(F8:F9)</f>
        <v>6.5299999999999997E-2</v>
      </c>
      <c r="G10" s="37">
        <f t="shared" si="1"/>
        <v>7.6399999999999996E-2</v>
      </c>
      <c r="H10" s="37">
        <f t="shared" si="1"/>
        <v>8.3599999999999994E-2</v>
      </c>
      <c r="I10" s="37">
        <f t="shared" si="1"/>
        <v>0.12179999999999999</v>
      </c>
      <c r="J10" s="37">
        <f t="shared" si="1"/>
        <v>0.152</v>
      </c>
      <c r="K10" s="37">
        <f>SUM(K8:K9)</f>
        <v>0.17460000000000001</v>
      </c>
      <c r="L10" s="37">
        <f>SUM(L8:L9)</f>
        <v>0.1908</v>
      </c>
      <c r="M10" s="37">
        <f t="shared" ref="M10:O10" si="2">SUM(M8:M9)</f>
        <v>0.2112</v>
      </c>
      <c r="N10" s="37">
        <f t="shared" si="2"/>
        <v>0.2213</v>
      </c>
      <c r="O10" s="37">
        <f t="shared" si="2"/>
        <v>0.24709999999999999</v>
      </c>
    </row>
    <row r="11" spans="4:15">
      <c r="K11" s="36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43" workbookViewId="0">
      <selection activeCell="B8" sqref="B8"/>
    </sheetView>
  </sheetViews>
  <sheetFormatPr baseColWidth="10" defaultRowHeight="15" x14ac:dyDescent="0"/>
  <cols>
    <col min="1" max="1" width="10.83203125" style="1"/>
    <col min="2" max="2" width="51.6640625" style="1" bestFit="1" customWidth="1"/>
    <col min="3" max="3" width="10.83203125" style="1"/>
    <col min="4" max="4" width="30" style="1" bestFit="1" customWidth="1"/>
    <col min="5" max="5" width="40.1640625" style="1" bestFit="1" customWidth="1"/>
    <col min="6" max="6" width="23.5" style="42" bestFit="1" customWidth="1"/>
    <col min="7" max="7" width="22.5" style="1" bestFit="1" customWidth="1"/>
    <col min="8" max="16384" width="10.83203125" style="1"/>
  </cols>
  <sheetData>
    <row r="1" spans="1:7">
      <c r="A1" s="243" t="s">
        <v>189</v>
      </c>
      <c r="B1" s="243"/>
      <c r="C1" s="243"/>
      <c r="D1" s="243"/>
      <c r="E1" s="243"/>
      <c r="F1" s="243"/>
      <c r="G1" s="243"/>
    </row>
    <row r="2" spans="1:7">
      <c r="B2" s="38" t="s">
        <v>190</v>
      </c>
      <c r="C2" s="38" t="s">
        <v>191</v>
      </c>
      <c r="D2" s="38" t="s">
        <v>192</v>
      </c>
      <c r="E2" s="39" t="s">
        <v>193</v>
      </c>
      <c r="F2" s="39" t="s">
        <v>194</v>
      </c>
      <c r="G2" s="38" t="s">
        <v>195</v>
      </c>
    </row>
    <row r="3" spans="1:7">
      <c r="B3" s="40"/>
      <c r="C3" s="41"/>
      <c r="D3" s="38" t="s">
        <v>196</v>
      </c>
    </row>
    <row r="4" spans="1:7">
      <c r="B4" s="40" t="s">
        <v>67</v>
      </c>
      <c r="C4" s="41">
        <v>37735</v>
      </c>
      <c r="D4" s="43">
        <f t="shared" ref="D4:D18" si="0">C4*E4</f>
        <v>754.7</v>
      </c>
      <c r="E4" s="42">
        <v>0.02</v>
      </c>
    </row>
    <row r="5" spans="1:7">
      <c r="B5" s="40" t="s">
        <v>66</v>
      </c>
      <c r="C5" s="41">
        <v>39235</v>
      </c>
      <c r="D5" s="43">
        <f t="shared" si="0"/>
        <v>1177.05</v>
      </c>
      <c r="E5" s="42">
        <v>0.03</v>
      </c>
    </row>
    <row r="6" spans="1:7">
      <c r="B6" s="40" t="s">
        <v>65</v>
      </c>
      <c r="C6" s="41">
        <v>53144</v>
      </c>
      <c r="D6" s="43">
        <f t="shared" si="0"/>
        <v>1594.32</v>
      </c>
      <c r="E6" s="42">
        <v>0.03</v>
      </c>
    </row>
    <row r="7" spans="1:7">
      <c r="B7" s="40" t="s">
        <v>64</v>
      </c>
      <c r="C7" s="41">
        <v>42975</v>
      </c>
      <c r="D7" s="43">
        <f t="shared" si="0"/>
        <v>2578.5</v>
      </c>
      <c r="E7" s="42">
        <v>0.06</v>
      </c>
    </row>
    <row r="8" spans="1:7">
      <c r="B8" s="40" t="s">
        <v>63</v>
      </c>
      <c r="C8" s="41">
        <v>44017</v>
      </c>
      <c r="D8" s="43">
        <f t="shared" si="0"/>
        <v>2641.02</v>
      </c>
      <c r="E8" s="42">
        <v>0.06</v>
      </c>
      <c r="F8" s="42">
        <f t="shared" ref="F8:F18" si="1">D8/D4-1</f>
        <v>2.4994302371803365</v>
      </c>
      <c r="G8" s="42">
        <f t="shared" ref="G8:G17" si="2">C8/C4-1</f>
        <v>0.16647674572677884</v>
      </c>
    </row>
    <row r="9" spans="1:7">
      <c r="B9" s="40" t="s">
        <v>62</v>
      </c>
      <c r="C9" s="41">
        <v>44634</v>
      </c>
      <c r="D9" s="43">
        <f t="shared" si="0"/>
        <v>3570.7200000000003</v>
      </c>
      <c r="E9" s="42">
        <v>0.08</v>
      </c>
      <c r="F9" s="42">
        <f t="shared" si="1"/>
        <v>2.0336179431629926</v>
      </c>
      <c r="G9" s="42">
        <f t="shared" si="2"/>
        <v>0.137606728686122</v>
      </c>
    </row>
    <row r="10" spans="1:7">
      <c r="B10" s="40" t="s">
        <v>61</v>
      </c>
      <c r="C10" s="41">
        <v>62278</v>
      </c>
      <c r="D10" s="43">
        <f t="shared" si="0"/>
        <v>5605.0199999999995</v>
      </c>
      <c r="E10" s="42">
        <v>0.09</v>
      </c>
      <c r="F10" s="42">
        <f t="shared" si="1"/>
        <v>2.5156179437001351</v>
      </c>
      <c r="G10" s="42">
        <f t="shared" si="2"/>
        <v>0.17187264790004519</v>
      </c>
    </row>
    <row r="11" spans="1:7">
      <c r="B11" s="40" t="s">
        <v>60</v>
      </c>
      <c r="C11" s="41">
        <v>49999</v>
      </c>
      <c r="D11" s="43">
        <f t="shared" si="0"/>
        <v>3999.92</v>
      </c>
      <c r="E11" s="42">
        <v>0.08</v>
      </c>
      <c r="F11" s="42">
        <f t="shared" si="1"/>
        <v>0.55125848361450469</v>
      </c>
      <c r="G11" s="42">
        <f t="shared" si="2"/>
        <v>0.16344386271087852</v>
      </c>
    </row>
    <row r="12" spans="1:7">
      <c r="B12" s="40" t="s">
        <v>59</v>
      </c>
      <c r="C12" s="41">
        <v>50873</v>
      </c>
      <c r="D12" s="43">
        <f t="shared" si="0"/>
        <v>4578.57</v>
      </c>
      <c r="E12" s="42">
        <v>0.09</v>
      </c>
      <c r="F12" s="42">
        <f t="shared" si="1"/>
        <v>0.73363700388486253</v>
      </c>
      <c r="G12" s="42">
        <f t="shared" si="2"/>
        <v>0.15575800258990835</v>
      </c>
    </row>
    <row r="13" spans="1:7">
      <c r="B13" s="40" t="s">
        <v>58</v>
      </c>
      <c r="C13" s="41">
        <v>52368</v>
      </c>
      <c r="D13" s="43">
        <f t="shared" si="0"/>
        <v>5236.8</v>
      </c>
      <c r="E13" s="42">
        <v>0.1</v>
      </c>
      <c r="F13" s="42">
        <f t="shared" si="1"/>
        <v>0.46659497244253245</v>
      </c>
      <c r="G13" s="42">
        <f t="shared" si="2"/>
        <v>0.17327597795402605</v>
      </c>
    </row>
    <row r="14" spans="1:7">
      <c r="B14" s="40" t="s">
        <v>57</v>
      </c>
      <c r="C14" s="41">
        <v>72073</v>
      </c>
      <c r="D14" s="43">
        <f t="shared" si="0"/>
        <v>7928.03</v>
      </c>
      <c r="E14" s="42">
        <v>0.11</v>
      </c>
      <c r="F14" s="42">
        <f t="shared" si="1"/>
        <v>0.41445168795115817</v>
      </c>
      <c r="G14" s="42">
        <f t="shared" si="2"/>
        <v>0.15727865377822026</v>
      </c>
    </row>
    <row r="15" spans="1:7">
      <c r="B15" s="40" t="s">
        <v>56</v>
      </c>
      <c r="C15" s="41">
        <v>58132</v>
      </c>
      <c r="D15" s="43">
        <f t="shared" si="0"/>
        <v>6394.52</v>
      </c>
      <c r="E15" s="42">
        <v>0.11</v>
      </c>
      <c r="F15" s="42">
        <f t="shared" si="1"/>
        <v>0.59866197323946491</v>
      </c>
      <c r="G15" s="42">
        <f t="shared" si="2"/>
        <v>0.16266325326506537</v>
      </c>
    </row>
    <row r="16" spans="1:7">
      <c r="B16" s="40" t="s">
        <v>55</v>
      </c>
      <c r="C16" s="41">
        <v>60219</v>
      </c>
      <c r="D16" s="43">
        <f t="shared" si="0"/>
        <v>5419.71</v>
      </c>
      <c r="E16" s="42">
        <v>0.09</v>
      </c>
      <c r="F16" s="42">
        <f t="shared" si="1"/>
        <v>0.18371238181353577</v>
      </c>
      <c r="G16" s="42">
        <f t="shared" si="2"/>
        <v>0.18371238181353577</v>
      </c>
    </row>
    <row r="17" spans="1:7">
      <c r="A17" s="1" t="s">
        <v>197</v>
      </c>
      <c r="B17" s="40" t="s">
        <v>54</v>
      </c>
      <c r="C17" s="41">
        <v>61270</v>
      </c>
      <c r="D17" s="43">
        <f t="shared" si="0"/>
        <v>7352.4</v>
      </c>
      <c r="E17" s="42">
        <v>0.12</v>
      </c>
      <c r="F17" s="42">
        <f t="shared" si="1"/>
        <v>0.40398716773602183</v>
      </c>
      <c r="G17" s="42">
        <f t="shared" si="2"/>
        <v>0.16998930644668508</v>
      </c>
    </row>
    <row r="18" spans="1:7">
      <c r="A18" s="1" t="s">
        <v>198</v>
      </c>
      <c r="B18" s="40" t="s">
        <v>199</v>
      </c>
      <c r="C18" s="41">
        <v>82163</v>
      </c>
      <c r="D18" s="43">
        <f t="shared" si="0"/>
        <v>10681.19</v>
      </c>
      <c r="E18" s="42">
        <v>0.13</v>
      </c>
      <c r="F18" s="42">
        <f t="shared" si="1"/>
        <v>0.3472691198191733</v>
      </c>
      <c r="G18" s="42">
        <v>0.14000000000000001</v>
      </c>
    </row>
    <row r="19" spans="1:7">
      <c r="A19" s="1" t="s">
        <v>200</v>
      </c>
      <c r="C19" s="44">
        <f>SUM(C7:C10)</f>
        <v>193904</v>
      </c>
      <c r="D19" s="44">
        <f>SUM(D7:D10)</f>
        <v>14395.260000000002</v>
      </c>
      <c r="E19" s="42"/>
      <c r="F19" s="1"/>
    </row>
    <row r="20" spans="1:7">
      <c r="A20" s="1" t="s">
        <v>201</v>
      </c>
      <c r="C20" s="44">
        <f>SUM(C11:C14)</f>
        <v>225313</v>
      </c>
      <c r="D20" s="44">
        <f>SUM(D11:D14)</f>
        <v>21743.32</v>
      </c>
      <c r="F20" s="1"/>
    </row>
    <row r="21" spans="1:7">
      <c r="A21" s="1" t="s">
        <v>202</v>
      </c>
      <c r="E21" s="42">
        <f>D20/D19-1</f>
        <v>0.5104499675587657</v>
      </c>
      <c r="F21" s="1"/>
    </row>
    <row r="22" spans="1:7">
      <c r="C22" s="40"/>
      <c r="D22" s="41"/>
      <c r="F22" s="1"/>
    </row>
    <row r="23" spans="1:7">
      <c r="C23" s="40"/>
      <c r="D23" s="41"/>
      <c r="F23" s="1"/>
    </row>
    <row r="24" spans="1:7">
      <c r="C24" s="40"/>
      <c r="D24" s="41"/>
      <c r="F24" s="1"/>
    </row>
    <row r="25" spans="1:7">
      <c r="C25" s="40"/>
      <c r="D25" s="41"/>
      <c r="F25" s="1"/>
    </row>
    <row r="26" spans="1:7">
      <c r="C26" s="40"/>
      <c r="D26" s="41"/>
      <c r="F26" s="1"/>
    </row>
    <row r="27" spans="1:7">
      <c r="C27" s="40"/>
      <c r="D27" s="41"/>
      <c r="F27" s="1"/>
    </row>
    <row r="28" spans="1:7">
      <c r="C28" s="40"/>
      <c r="D28" s="41"/>
      <c r="F28" s="1"/>
    </row>
    <row r="29" spans="1:7">
      <c r="C29" s="40"/>
      <c r="D29" s="41"/>
      <c r="F29" s="1"/>
    </row>
    <row r="30" spans="1:7">
      <c r="C30" s="40"/>
      <c r="D30" s="41"/>
      <c r="F30" s="1"/>
    </row>
    <row r="31" spans="1:7">
      <c r="C31" s="40"/>
      <c r="D31" s="41"/>
      <c r="F31" s="1"/>
    </row>
    <row r="32" spans="1:7">
      <c r="C32" s="40"/>
      <c r="D32" s="41"/>
      <c r="F32" s="1"/>
    </row>
    <row r="33" spans="3:6">
      <c r="C33" s="40"/>
      <c r="D33" s="41"/>
      <c r="F33" s="1"/>
    </row>
    <row r="34" spans="3:6">
      <c r="C34" s="40"/>
      <c r="D34" s="41"/>
    </row>
    <row r="35" spans="3:6">
      <c r="C35" s="40"/>
      <c r="D35" s="41"/>
    </row>
    <row r="36" spans="3:6">
      <c r="C36" s="40"/>
      <c r="D36" s="41"/>
    </row>
    <row r="37" spans="3:6">
      <c r="C37" s="40"/>
      <c r="D37" s="41"/>
    </row>
    <row r="38" spans="3:6">
      <c r="C38" s="40"/>
      <c r="D38" s="41"/>
    </row>
    <row r="39" spans="3:6">
      <c r="C39" s="40"/>
      <c r="D39" s="41"/>
    </row>
    <row r="40" spans="3:6">
      <c r="C40" s="40"/>
      <c r="D40" s="41"/>
    </row>
    <row r="41" spans="3:6">
      <c r="C41" s="40"/>
      <c r="D41" s="41"/>
    </row>
    <row r="42" spans="3:6">
      <c r="C42" s="40"/>
      <c r="D42" s="41"/>
    </row>
    <row r="43" spans="3:6">
      <c r="C43" s="40"/>
      <c r="D43" s="41"/>
    </row>
    <row r="44" spans="3:6">
      <c r="C44" s="40"/>
      <c r="D44" s="41"/>
    </row>
    <row r="45" spans="3:6">
      <c r="C45" s="40"/>
      <c r="D45" s="41"/>
    </row>
    <row r="73" spans="4:4">
      <c r="D73" s="45"/>
    </row>
  </sheetData>
  <mergeCells count="1">
    <mergeCell ref="A1:G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A31" workbookViewId="0">
      <selection activeCell="I13" sqref="I13"/>
    </sheetView>
  </sheetViews>
  <sheetFormatPr baseColWidth="10" defaultRowHeight="15" x14ac:dyDescent="0"/>
  <sheetData>
    <row r="1" spans="1:9">
      <c r="A1" t="s">
        <v>203</v>
      </c>
    </row>
    <row r="2" spans="1:9">
      <c r="B2" t="s">
        <v>204</v>
      </c>
      <c r="C2" t="s">
        <v>205</v>
      </c>
      <c r="D2" t="s">
        <v>206</v>
      </c>
      <c r="E2" t="s">
        <v>207</v>
      </c>
      <c r="F2" t="s">
        <v>208</v>
      </c>
      <c r="G2" t="s">
        <v>209</v>
      </c>
      <c r="H2" t="s">
        <v>210</v>
      </c>
    </row>
    <row r="3" spans="1:9">
      <c r="A3" t="s">
        <v>211</v>
      </c>
      <c r="B3">
        <v>64.2</v>
      </c>
      <c r="C3">
        <v>42.2</v>
      </c>
      <c r="D3">
        <v>42.9</v>
      </c>
      <c r="E3">
        <f>SUM(B3:D3)</f>
        <v>149.30000000000001</v>
      </c>
      <c r="F3" s="16">
        <f>D3/E3</f>
        <v>0.28734092431346281</v>
      </c>
      <c r="G3" s="16">
        <f>C3/E3</f>
        <v>0.28265237776289348</v>
      </c>
      <c r="H3" s="46">
        <f>SUM(C3:D3)</f>
        <v>85.1</v>
      </c>
      <c r="I3" s="16"/>
    </row>
    <row r="4" spans="1:9">
      <c r="A4" t="s">
        <v>212</v>
      </c>
      <c r="B4">
        <v>45.9</v>
      </c>
      <c r="C4">
        <v>23.4</v>
      </c>
      <c r="D4">
        <v>21.9</v>
      </c>
      <c r="E4">
        <f t="shared" ref="E4:E12" si="0">SUM(B4:D4)</f>
        <v>91.199999999999989</v>
      </c>
      <c r="F4" s="16">
        <f t="shared" ref="F4:F12" si="1">D4/E4</f>
        <v>0.24013157894736845</v>
      </c>
      <c r="G4" s="16">
        <f t="shared" ref="G4:G12" si="2">C4/E4</f>
        <v>0.25657894736842107</v>
      </c>
      <c r="H4" s="46">
        <f t="shared" ref="H4:H12" si="3">SUM(C4:D4)</f>
        <v>45.3</v>
      </c>
    </row>
    <row r="5" spans="1:9">
      <c r="A5" t="s">
        <v>213</v>
      </c>
      <c r="B5">
        <v>30.1</v>
      </c>
      <c r="C5">
        <v>9.8000000000000007</v>
      </c>
      <c r="D5">
        <v>19.3</v>
      </c>
      <c r="E5">
        <f t="shared" si="0"/>
        <v>59.2</v>
      </c>
      <c r="F5" s="16">
        <f t="shared" si="1"/>
        <v>0.32601351351351349</v>
      </c>
      <c r="G5" s="16">
        <f t="shared" si="2"/>
        <v>0.16554054054054054</v>
      </c>
      <c r="H5" s="46">
        <f t="shared" si="3"/>
        <v>29.1</v>
      </c>
    </row>
    <row r="6" spans="1:9">
      <c r="A6" t="s">
        <v>49</v>
      </c>
      <c r="B6">
        <v>37</v>
      </c>
      <c r="C6">
        <v>6.6</v>
      </c>
      <c r="D6">
        <v>11.4</v>
      </c>
      <c r="E6">
        <f t="shared" si="0"/>
        <v>55</v>
      </c>
      <c r="F6" s="16">
        <f t="shared" si="1"/>
        <v>0.20727272727272728</v>
      </c>
      <c r="G6" s="16">
        <f t="shared" si="2"/>
        <v>0.12</v>
      </c>
      <c r="H6" s="46">
        <f t="shared" si="3"/>
        <v>18</v>
      </c>
    </row>
    <row r="7" spans="1:9">
      <c r="A7" t="s">
        <v>214</v>
      </c>
      <c r="B7">
        <v>19.2</v>
      </c>
      <c r="C7">
        <v>3.8</v>
      </c>
      <c r="D7">
        <v>13.7</v>
      </c>
      <c r="E7">
        <f t="shared" si="0"/>
        <v>36.700000000000003</v>
      </c>
      <c r="F7" s="16">
        <f t="shared" si="1"/>
        <v>0.3732970027247956</v>
      </c>
      <c r="G7" s="16">
        <f t="shared" si="2"/>
        <v>0.10354223433242506</v>
      </c>
      <c r="H7" s="46">
        <f t="shared" si="3"/>
        <v>17.5</v>
      </c>
    </row>
    <row r="8" spans="1:9">
      <c r="A8" t="s">
        <v>215</v>
      </c>
      <c r="B8">
        <v>15.4</v>
      </c>
      <c r="C8">
        <v>2.9</v>
      </c>
      <c r="D8">
        <v>9.6999999999999993</v>
      </c>
      <c r="E8">
        <f t="shared" si="0"/>
        <v>28</v>
      </c>
      <c r="F8" s="16">
        <f t="shared" si="1"/>
        <v>0.34642857142857142</v>
      </c>
      <c r="G8" s="16">
        <f t="shared" si="2"/>
        <v>0.10357142857142856</v>
      </c>
      <c r="H8" s="46">
        <f t="shared" si="3"/>
        <v>12.6</v>
      </c>
    </row>
    <row r="9" spans="1:9">
      <c r="A9" t="s">
        <v>216</v>
      </c>
      <c r="B9">
        <v>14.4</v>
      </c>
      <c r="C9">
        <v>2.7</v>
      </c>
      <c r="D9">
        <v>7.4</v>
      </c>
      <c r="E9">
        <f t="shared" si="0"/>
        <v>24.5</v>
      </c>
      <c r="F9" s="16">
        <f t="shared" si="1"/>
        <v>0.30204081632653063</v>
      </c>
      <c r="G9" s="16">
        <f t="shared" si="2"/>
        <v>0.11020408163265306</v>
      </c>
      <c r="H9" s="46">
        <f t="shared" si="3"/>
        <v>10.100000000000001</v>
      </c>
    </row>
    <row r="10" spans="1:9">
      <c r="A10" t="s">
        <v>217</v>
      </c>
      <c r="B10">
        <v>11.9</v>
      </c>
      <c r="C10">
        <v>2.1</v>
      </c>
      <c r="D10">
        <v>9</v>
      </c>
      <c r="E10">
        <f t="shared" si="0"/>
        <v>23</v>
      </c>
      <c r="F10" s="16">
        <f t="shared" si="1"/>
        <v>0.39130434782608697</v>
      </c>
      <c r="G10" s="16">
        <f t="shared" si="2"/>
        <v>9.1304347826086957E-2</v>
      </c>
      <c r="H10" s="46">
        <f t="shared" si="3"/>
        <v>11.1</v>
      </c>
    </row>
    <row r="11" spans="1:9">
      <c r="A11" t="s">
        <v>218</v>
      </c>
      <c r="B11">
        <v>10.8</v>
      </c>
      <c r="C11">
        <v>2.2000000000000002</v>
      </c>
      <c r="D11">
        <v>6.2</v>
      </c>
      <c r="E11">
        <f t="shared" si="0"/>
        <v>19.2</v>
      </c>
      <c r="F11" s="16">
        <f t="shared" si="1"/>
        <v>0.32291666666666669</v>
      </c>
      <c r="G11" s="16">
        <f t="shared" si="2"/>
        <v>0.11458333333333334</v>
      </c>
      <c r="H11" s="46">
        <f t="shared" si="3"/>
        <v>8.4</v>
      </c>
    </row>
    <row r="12" spans="1:9">
      <c r="A12" t="s">
        <v>219</v>
      </c>
      <c r="B12">
        <v>10.8</v>
      </c>
      <c r="C12">
        <v>1.5</v>
      </c>
      <c r="D12">
        <v>5.5</v>
      </c>
      <c r="E12">
        <f t="shared" si="0"/>
        <v>17.8</v>
      </c>
      <c r="F12" s="16">
        <f t="shared" si="1"/>
        <v>0.3089887640449438</v>
      </c>
      <c r="G12" s="16">
        <f t="shared" si="2"/>
        <v>8.4269662921348312E-2</v>
      </c>
      <c r="H12" s="46">
        <f t="shared" si="3"/>
        <v>7</v>
      </c>
    </row>
    <row r="13" spans="1:9">
      <c r="F13" s="17">
        <f>AVERAGE(F3:F12)</f>
        <v>0.31057349130646672</v>
      </c>
      <c r="H13" s="17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B1" workbookViewId="0">
      <selection activeCell="O17" sqref="O17"/>
    </sheetView>
  </sheetViews>
  <sheetFormatPr baseColWidth="10" defaultRowHeight="15" x14ac:dyDescent="0"/>
  <cols>
    <col min="1" max="1" width="55" style="1" bestFit="1" customWidth="1"/>
    <col min="2" max="6" width="10.83203125" style="1"/>
    <col min="7" max="7" width="12.5" style="1" bestFit="1" customWidth="1"/>
    <col min="8" max="16384" width="10.83203125" style="1"/>
  </cols>
  <sheetData>
    <row r="1" spans="1:8">
      <c r="A1" s="1" t="s">
        <v>220</v>
      </c>
    </row>
    <row r="2" spans="1:8">
      <c r="B2" s="1">
        <v>2008</v>
      </c>
      <c r="C2" s="1">
        <f>B2+1</f>
        <v>2009</v>
      </c>
      <c r="D2" s="1">
        <f>C2+1</f>
        <v>2010</v>
      </c>
      <c r="E2" s="1">
        <f>D2+1</f>
        <v>2011</v>
      </c>
      <c r="F2" s="1">
        <v>2012</v>
      </c>
      <c r="G2" s="1">
        <v>2013</v>
      </c>
    </row>
    <row r="3" spans="1:8">
      <c r="A3" s="1" t="s">
        <v>221</v>
      </c>
      <c r="G3" s="137">
        <v>4000</v>
      </c>
    </row>
    <row r="4" spans="1:8">
      <c r="A4" s="1" t="s">
        <v>222</v>
      </c>
      <c r="G4" s="137">
        <v>9000</v>
      </c>
    </row>
    <row r="5" spans="1:8">
      <c r="A5" s="1" t="s">
        <v>223</v>
      </c>
      <c r="G5" s="138">
        <v>12000</v>
      </c>
    </row>
    <row r="6" spans="1:8">
      <c r="A6" s="1" t="s">
        <v>224</v>
      </c>
      <c r="B6" s="44">
        <v>25</v>
      </c>
      <c r="C6" s="44">
        <v>141</v>
      </c>
      <c r="D6" s="44">
        <v>600</v>
      </c>
      <c r="E6" s="44">
        <v>4000</v>
      </c>
      <c r="F6" s="44">
        <v>14000</v>
      </c>
      <c r="G6" s="138">
        <v>27000</v>
      </c>
      <c r="H6" s="42"/>
    </row>
    <row r="7" spans="1:8">
      <c r="A7" s="1" t="s">
        <v>225</v>
      </c>
      <c r="B7" s="44">
        <f t="shared" ref="B7:G7" si="0">B8-B6</f>
        <v>60122</v>
      </c>
      <c r="C7" s="44">
        <f t="shared" si="0"/>
        <v>71475</v>
      </c>
      <c r="D7" s="44">
        <f t="shared" si="0"/>
        <v>91355</v>
      </c>
      <c r="E7" s="44">
        <f t="shared" si="0"/>
        <v>114758</v>
      </c>
      <c r="F7" s="44">
        <f t="shared" si="0"/>
        <v>130938</v>
      </c>
      <c r="G7" s="44">
        <f t="shared" si="0"/>
        <v>152663</v>
      </c>
    </row>
    <row r="8" spans="1:8">
      <c r="A8" s="1" t="s">
        <v>226</v>
      </c>
      <c r="B8" s="1">
        <f>14417+14930+14812+15988</f>
        <v>60147</v>
      </c>
      <c r="C8" s="1">
        <f>15859+16705+17686+21366</f>
        <v>71616</v>
      </c>
      <c r="D8" s="1">
        <f>26866+21342+21382+22365</f>
        <v>91955</v>
      </c>
      <c r="E8" s="1">
        <f>33372+29282+28742+27362</f>
        <v>118758</v>
      </c>
      <c r="F8" s="1">
        <f>41471+35159+34451+33857</f>
        <v>144938</v>
      </c>
      <c r="G8" s="1">
        <f>51973+43837+42813+41040</f>
        <v>179663</v>
      </c>
    </row>
    <row r="9" spans="1:8">
      <c r="A9" s="1" t="s">
        <v>227</v>
      </c>
      <c r="E9" s="139">
        <f>E6/E8</f>
        <v>3.3681941427103859E-2</v>
      </c>
      <c r="F9" s="139">
        <f>F6/F8</f>
        <v>9.6593025983523984E-2</v>
      </c>
      <c r="G9" s="139">
        <f>G6/G8</f>
        <v>0.15028136010196869</v>
      </c>
    </row>
    <row r="10" spans="1:8">
      <c r="C10" s="42">
        <f>(C6-B6)/B6</f>
        <v>4.6399999999999997</v>
      </c>
      <c r="D10" s="42">
        <f>(D6-C6)/C6</f>
        <v>3.2553191489361701</v>
      </c>
      <c r="E10" s="42">
        <f>(E6-D6)/D6</f>
        <v>5.666666666666667</v>
      </c>
      <c r="F10" s="42">
        <f>(F6-E6)/E6</f>
        <v>2.5</v>
      </c>
      <c r="G10" s="42">
        <f>(G6-F6)/F6</f>
        <v>0.9285714285714286</v>
      </c>
    </row>
    <row r="11" spans="1:8">
      <c r="C11" s="42"/>
      <c r="D11" s="42"/>
      <c r="E11" s="42"/>
      <c r="F11" s="42"/>
      <c r="G11" s="42"/>
    </row>
    <row r="13" spans="1:8">
      <c r="A13" s="1" t="s">
        <v>228</v>
      </c>
      <c r="E13" s="36">
        <f>E10-F10</f>
        <v>3.166666666666667</v>
      </c>
      <c r="F13" s="36">
        <f>F10-G10</f>
        <v>1.5714285714285714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H17" sqref="H17"/>
    </sheetView>
  </sheetViews>
  <sheetFormatPr baseColWidth="10" defaultRowHeight="15" x14ac:dyDescent="0"/>
  <cols>
    <col min="1" max="1" width="52.1640625" customWidth="1"/>
    <col min="2" max="2" width="16.1640625" bestFit="1" customWidth="1"/>
    <col min="3" max="3" width="15.5" customWidth="1"/>
    <col min="4" max="4" width="18.1640625" bestFit="1" customWidth="1"/>
    <col min="5" max="5" width="17.1640625" bestFit="1" customWidth="1"/>
    <col min="6" max="6" width="16.33203125" bestFit="1" customWidth="1"/>
    <col min="7" max="8" width="15.1640625" bestFit="1" customWidth="1"/>
    <col min="9" max="9" width="14.1640625" bestFit="1" customWidth="1"/>
  </cols>
  <sheetData>
    <row r="1" spans="1:9">
      <c r="A1" s="242" t="s">
        <v>229</v>
      </c>
      <c r="B1" s="242"/>
      <c r="C1" s="242"/>
      <c r="D1" s="242"/>
      <c r="E1" s="242"/>
    </row>
    <row r="2" spans="1:9">
      <c r="B2" t="s">
        <v>23</v>
      </c>
      <c r="C2" t="s">
        <v>24</v>
      </c>
      <c r="D2" s="24" t="s">
        <v>25</v>
      </c>
      <c r="E2" t="s">
        <v>26</v>
      </c>
      <c r="F2" t="s">
        <v>230</v>
      </c>
    </row>
    <row r="3" spans="1:9">
      <c r="A3" t="s">
        <v>231</v>
      </c>
      <c r="D3" s="47">
        <v>2776500000</v>
      </c>
      <c r="E3" s="47">
        <v>2779500000</v>
      </c>
      <c r="F3" s="48">
        <v>3073000000</v>
      </c>
    </row>
    <row r="4" spans="1:9">
      <c r="A4" t="s">
        <v>232</v>
      </c>
      <c r="D4" s="17">
        <v>0.88</v>
      </c>
      <c r="E4" s="17">
        <v>0.89</v>
      </c>
      <c r="F4" s="17">
        <v>0.89</v>
      </c>
    </row>
    <row r="5" spans="1:9">
      <c r="A5" t="s">
        <v>233</v>
      </c>
      <c r="D5" s="47">
        <f>D3*D4</f>
        <v>2443320000</v>
      </c>
      <c r="E5" s="47">
        <f>E3*E4</f>
        <v>2473755000</v>
      </c>
      <c r="F5" s="47">
        <f>F3*F4</f>
        <v>2734970000</v>
      </c>
    </row>
    <row r="6" spans="1:9" ht="30">
      <c r="A6" s="49" t="s">
        <v>234</v>
      </c>
      <c r="D6" s="17">
        <v>0.1</v>
      </c>
      <c r="E6" s="17">
        <v>0.11</v>
      </c>
      <c r="F6" s="50">
        <f>F7/F5</f>
        <v>0.12438893296818612</v>
      </c>
    </row>
    <row r="7" spans="1:9">
      <c r="A7" t="s">
        <v>235</v>
      </c>
      <c r="B7" s="51">
        <v>144648000</v>
      </c>
      <c r="C7" s="51">
        <v>206640000</v>
      </c>
      <c r="D7" s="47">
        <v>244332000</v>
      </c>
      <c r="E7" s="47">
        <v>272113050</v>
      </c>
      <c r="F7" s="51">
        <f>F10*F9</f>
        <v>340200000</v>
      </c>
      <c r="H7" s="51"/>
    </row>
    <row r="8" spans="1:9">
      <c r="A8" t="s">
        <v>236</v>
      </c>
      <c r="B8" s="52">
        <v>2100000</v>
      </c>
      <c r="C8" s="52">
        <v>3000000</v>
      </c>
      <c r="D8" s="52">
        <v>3500000</v>
      </c>
      <c r="E8" s="52">
        <v>4000000</v>
      </c>
      <c r="F8" s="52">
        <v>5000000</v>
      </c>
    </row>
    <row r="9" spans="1:9">
      <c r="A9" t="s">
        <v>237</v>
      </c>
      <c r="B9" s="52">
        <f>B8*12</f>
        <v>25200000</v>
      </c>
      <c r="C9" s="52">
        <f t="shared" ref="C9:E9" si="0">C8*12</f>
        <v>36000000</v>
      </c>
      <c r="D9" s="52">
        <f>D8*12</f>
        <v>42000000</v>
      </c>
      <c r="E9" s="52">
        <f t="shared" si="0"/>
        <v>48000000</v>
      </c>
      <c r="F9" s="53">
        <f>F8*4*3</f>
        <v>60000000</v>
      </c>
      <c r="G9" s="53">
        <f>C9+D9+E9+F9</f>
        <v>186000000</v>
      </c>
    </row>
    <row r="10" spans="1:9">
      <c r="A10" t="s">
        <v>238</v>
      </c>
      <c r="B10">
        <v>5.74</v>
      </c>
      <c r="C10">
        <v>5.74</v>
      </c>
      <c r="D10" s="54">
        <f>D7/D9</f>
        <v>5.8174285714285716</v>
      </c>
      <c r="E10" s="54">
        <f>E7/E9</f>
        <v>5.6690218750000003</v>
      </c>
      <c r="F10" s="54">
        <v>5.67</v>
      </c>
    </row>
    <row r="11" spans="1:9">
      <c r="B11" s="24"/>
      <c r="C11" s="29"/>
      <c r="D11" s="55"/>
      <c r="E11" s="55"/>
    </row>
    <row r="12" spans="1:9">
      <c r="F12" s="48"/>
      <c r="G12" s="54"/>
      <c r="H12" s="54"/>
    </row>
    <row r="13" spans="1:9">
      <c r="A13" s="12" t="s">
        <v>105</v>
      </c>
      <c r="F13" s="54"/>
      <c r="G13" s="54"/>
    </row>
    <row r="14" spans="1:9">
      <c r="A14" t="s">
        <v>239</v>
      </c>
      <c r="F14" s="51">
        <f>C7+D7+E7+F7</f>
        <v>1063285050</v>
      </c>
      <c r="H14" s="52">
        <f>5000000*52</f>
        <v>260000000</v>
      </c>
      <c r="I14" s="53">
        <f>H14*5</f>
        <v>1300000000</v>
      </c>
    </row>
    <row r="15" spans="1:9">
      <c r="A15" t="s">
        <v>240</v>
      </c>
    </row>
    <row r="16" spans="1:9">
      <c r="A16" t="s">
        <v>241</v>
      </c>
    </row>
    <row r="17" spans="1:7">
      <c r="A17" t="s">
        <v>242</v>
      </c>
    </row>
    <row r="22" spans="1:7">
      <c r="A22" s="56"/>
      <c r="B22" s="56"/>
      <c r="C22" s="56"/>
      <c r="D22" s="56"/>
    </row>
    <row r="23" spans="1:7">
      <c r="A23" s="57"/>
      <c r="B23" s="57"/>
      <c r="C23" s="57"/>
      <c r="D23" s="56"/>
    </row>
    <row r="24" spans="1:7">
      <c r="A24" s="58"/>
      <c r="B24" s="59"/>
      <c r="C24" s="60"/>
      <c r="D24" s="56"/>
      <c r="E24" s="61"/>
      <c r="G24" s="47"/>
    </row>
    <row r="25" spans="1:7">
      <c r="A25" s="58"/>
      <c r="B25" s="59"/>
      <c r="C25" s="60"/>
      <c r="D25" s="56"/>
    </row>
    <row r="26" spans="1:7">
      <c r="A26" s="58"/>
      <c r="B26" s="59"/>
      <c r="C26" s="60"/>
      <c r="D26" s="56"/>
    </row>
    <row r="27" spans="1:7">
      <c r="A27" s="58"/>
      <c r="B27" s="59"/>
      <c r="C27" s="60"/>
      <c r="D27" s="56"/>
      <c r="E27" s="51">
        <f>SUM(C7:F7)</f>
        <v>1063285050</v>
      </c>
    </row>
    <row r="28" spans="1:7">
      <c r="A28" s="58"/>
      <c r="B28" s="59"/>
      <c r="C28" s="60"/>
      <c r="D28" s="56"/>
    </row>
    <row r="29" spans="1:7">
      <c r="A29" s="58"/>
      <c r="B29" s="59"/>
      <c r="C29" s="60"/>
      <c r="D29" s="56"/>
    </row>
    <row r="30" spans="1:7">
      <c r="A30" s="58"/>
      <c r="B30" s="59"/>
      <c r="C30" s="60"/>
      <c r="D30" s="56"/>
    </row>
    <row r="31" spans="1:7">
      <c r="A31" s="58"/>
      <c r="B31" s="59"/>
      <c r="C31" s="60"/>
      <c r="D31" s="56"/>
    </row>
    <row r="32" spans="1:7">
      <c r="A32" s="58"/>
      <c r="B32" s="59"/>
      <c r="C32" s="60"/>
      <c r="D32" s="56"/>
    </row>
    <row r="33" spans="1:4">
      <c r="A33" s="58"/>
      <c r="B33" s="59"/>
      <c r="C33" s="60"/>
      <c r="D33" s="56"/>
    </row>
    <row r="34" spans="1:4">
      <c r="A34" s="58"/>
      <c r="B34" s="59"/>
      <c r="C34" s="60"/>
      <c r="D34" s="56"/>
    </row>
    <row r="35" spans="1:4">
      <c r="A35" s="58"/>
      <c r="B35" s="59"/>
      <c r="C35" s="60"/>
      <c r="D35" s="56"/>
    </row>
    <row r="36" spans="1:4">
      <c r="A36" s="57"/>
      <c r="B36" s="62"/>
      <c r="C36" s="62"/>
      <c r="D36" s="56"/>
    </row>
    <row r="37" spans="1:4">
      <c r="A37" s="56"/>
      <c r="B37" s="56"/>
      <c r="C37" s="56"/>
      <c r="D37" s="56"/>
    </row>
    <row r="38" spans="1:4">
      <c r="B38" s="63"/>
      <c r="C38" s="63"/>
    </row>
  </sheetData>
  <mergeCells count="1">
    <mergeCell ref="A1:E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196"/>
  <sheetViews>
    <sheetView zoomScale="125" zoomScaleNormal="125" zoomScalePageLayoutView="125" workbookViewId="0">
      <selection activeCell="C35" sqref="C35"/>
    </sheetView>
  </sheetViews>
  <sheetFormatPr baseColWidth="10" defaultRowHeight="15" x14ac:dyDescent="0"/>
  <cols>
    <col min="2" max="2" width="14.1640625" bestFit="1" customWidth="1"/>
    <col min="3" max="3" width="12.83203125" bestFit="1" customWidth="1"/>
    <col min="4" max="4" width="12.83203125" style="80" bestFit="1" customWidth="1"/>
    <col min="5" max="5" width="12.83203125" customWidth="1"/>
    <col min="6" max="7" width="12.6640625" customWidth="1"/>
    <col min="8" max="9" width="19.33203125" customWidth="1"/>
    <col min="10" max="10" width="14.1640625" bestFit="1" customWidth="1"/>
    <col min="11" max="11" width="13.1640625" bestFit="1" customWidth="1"/>
  </cols>
  <sheetData>
    <row r="1" spans="1:11">
      <c r="A1" s="1"/>
      <c r="B1" s="241" t="s">
        <v>243</v>
      </c>
      <c r="C1" s="241"/>
      <c r="D1" s="241"/>
      <c r="E1" s="241"/>
    </row>
    <row r="2" spans="1:11">
      <c r="A2" s="1"/>
      <c r="B2" s="1" t="s">
        <v>244</v>
      </c>
      <c r="C2" s="1" t="s">
        <v>245</v>
      </c>
      <c r="D2" s="64" t="s">
        <v>246</v>
      </c>
      <c r="E2" s="1" t="s">
        <v>247</v>
      </c>
    </row>
    <row r="3" spans="1:11" ht="17">
      <c r="A3" s="65">
        <v>40330</v>
      </c>
      <c r="B3" s="45">
        <v>1</v>
      </c>
      <c r="C3" s="45"/>
      <c r="D3" s="66"/>
      <c r="E3" s="45"/>
      <c r="F3" s="25"/>
      <c r="G3" s="25"/>
      <c r="H3" s="67"/>
      <c r="I3" s="67"/>
      <c r="J3" s="67"/>
      <c r="K3" s="67"/>
    </row>
    <row r="4" spans="1:11" ht="17">
      <c r="A4" s="65">
        <f>A3+7</f>
        <v>40337</v>
      </c>
      <c r="B4" s="45">
        <v>0.99970000000000003</v>
      </c>
      <c r="C4" s="45"/>
      <c r="D4" s="66"/>
      <c r="E4" s="45"/>
      <c r="F4" s="25"/>
      <c r="G4" s="25"/>
      <c r="H4" s="67"/>
      <c r="I4" s="67"/>
      <c r="J4" s="67"/>
      <c r="K4" s="67"/>
    </row>
    <row r="5" spans="1:11" ht="17">
      <c r="A5" s="65">
        <f>A4+7</f>
        <v>40344</v>
      </c>
      <c r="B5" s="45">
        <v>6.144804565094101</v>
      </c>
      <c r="C5" s="45"/>
      <c r="D5" s="66"/>
      <c r="E5" s="45"/>
      <c r="F5" s="25"/>
      <c r="G5" s="25"/>
      <c r="H5" s="67"/>
      <c r="I5" s="67"/>
      <c r="J5" s="67"/>
      <c r="K5" s="67"/>
    </row>
    <row r="6" spans="1:11" ht="17">
      <c r="A6" s="65">
        <f t="shared" ref="A6:A69" si="0">A5+7</f>
        <v>40351</v>
      </c>
      <c r="B6" s="45">
        <v>17.775914603349008</v>
      </c>
      <c r="C6" s="45"/>
      <c r="D6" s="66"/>
      <c r="E6" s="45"/>
      <c r="F6" s="25"/>
      <c r="G6" s="25"/>
      <c r="H6" s="67"/>
      <c r="I6" s="67"/>
      <c r="J6" s="67"/>
      <c r="K6" s="67"/>
    </row>
    <row r="7" spans="1:11" ht="17">
      <c r="A7" s="65">
        <f t="shared" si="0"/>
        <v>40358</v>
      </c>
      <c r="B7" s="45">
        <v>37.769954129440123</v>
      </c>
      <c r="C7" s="45"/>
      <c r="D7" s="66"/>
      <c r="E7" s="45"/>
      <c r="F7" s="25"/>
      <c r="G7" s="25"/>
      <c r="H7" s="67"/>
      <c r="I7" s="67"/>
      <c r="J7" s="67"/>
      <c r="K7" s="67"/>
    </row>
    <row r="8" spans="1:11" ht="17">
      <c r="A8" s="65">
        <f t="shared" si="0"/>
        <v>40365</v>
      </c>
      <c r="B8" s="45">
        <v>67.769036238692806</v>
      </c>
      <c r="C8" s="45"/>
      <c r="D8" s="66"/>
      <c r="E8" s="45"/>
      <c r="F8" s="55"/>
      <c r="G8" s="25"/>
      <c r="H8" s="67"/>
      <c r="I8" s="67"/>
      <c r="J8" s="67"/>
      <c r="K8" s="67"/>
    </row>
    <row r="9" spans="1:11" ht="17">
      <c r="A9" s="65">
        <f t="shared" si="0"/>
        <v>40372</v>
      </c>
      <c r="B9" s="45">
        <v>109.26229989334986</v>
      </c>
      <c r="C9" s="45"/>
      <c r="D9" s="66"/>
      <c r="E9" s="45"/>
      <c r="F9" s="25"/>
      <c r="G9" s="25"/>
      <c r="H9" s="67"/>
      <c r="I9" s="67"/>
      <c r="J9" s="67"/>
      <c r="K9" s="67"/>
    </row>
    <row r="10" spans="1:11" ht="17">
      <c r="A10" s="65">
        <f t="shared" si="0"/>
        <v>40379</v>
      </c>
      <c r="B10" s="45">
        <v>163.62796806268935</v>
      </c>
      <c r="C10" s="45"/>
      <c r="D10" s="66"/>
      <c r="E10" s="45"/>
      <c r="F10" s="25"/>
      <c r="G10" s="25"/>
      <c r="H10" s="67"/>
      <c r="I10" s="67"/>
      <c r="J10" s="67"/>
      <c r="K10" s="67"/>
    </row>
    <row r="11" spans="1:11" ht="17">
      <c r="A11" s="65">
        <f t="shared" si="0"/>
        <v>40386</v>
      </c>
      <c r="B11" s="45">
        <v>232.15863414822294</v>
      </c>
      <c r="C11" s="45"/>
      <c r="D11" s="66"/>
      <c r="E11" s="45"/>
      <c r="F11" s="25"/>
      <c r="G11" s="25"/>
      <c r="H11" s="67"/>
      <c r="I11" s="67"/>
      <c r="J11" s="67"/>
      <c r="K11" s="67"/>
    </row>
    <row r="12" spans="1:11" ht="17">
      <c r="A12" s="65">
        <f t="shared" si="0"/>
        <v>40393</v>
      </c>
      <c r="B12" s="45">
        <v>316.07796337456887</v>
      </c>
      <c r="C12" s="45"/>
      <c r="D12" s="66"/>
      <c r="E12" s="45"/>
      <c r="F12" s="25"/>
      <c r="G12" s="25"/>
      <c r="H12" s="67"/>
      <c r="I12" s="67"/>
      <c r="J12" s="67"/>
      <c r="K12" s="67"/>
    </row>
    <row r="13" spans="1:11" ht="17">
      <c r="A13" s="65">
        <f t="shared" si="0"/>
        <v>40400</v>
      </c>
      <c r="B13" s="45">
        <v>416.55244898624335</v>
      </c>
      <c r="C13" s="45"/>
      <c r="D13" s="66"/>
      <c r="E13" s="45"/>
      <c r="F13" s="28"/>
      <c r="G13" s="25"/>
      <c r="H13" s="67"/>
      <c r="I13" s="67"/>
      <c r="J13" s="67"/>
      <c r="K13" s="67"/>
    </row>
    <row r="14" spans="1:11" ht="17">
      <c r="A14" s="65">
        <f t="shared" si="0"/>
        <v>40407</v>
      </c>
      <c r="B14" s="45">
        <v>534.70007951710556</v>
      </c>
      <c r="C14" s="45"/>
      <c r="D14" s="66"/>
      <c r="E14" s="45"/>
      <c r="H14" s="67"/>
      <c r="I14" s="68"/>
      <c r="J14" s="67"/>
      <c r="K14" s="67"/>
    </row>
    <row r="15" spans="1:11" ht="17">
      <c r="A15" s="65">
        <f t="shared" si="0"/>
        <v>40414</v>
      </c>
      <c r="B15" s="45">
        <v>671.59695826481629</v>
      </c>
      <c r="C15" s="45"/>
      <c r="D15" s="66"/>
      <c r="E15" s="45"/>
      <c r="H15" s="67"/>
      <c r="I15" s="68"/>
      <c r="J15" s="67"/>
      <c r="K15" s="67"/>
    </row>
    <row r="16" spans="1:11" ht="17">
      <c r="A16" s="65">
        <f t="shared" si="0"/>
        <v>40421</v>
      </c>
      <c r="B16" s="45">
        <v>828.2825015724726</v>
      </c>
      <c r="C16" s="45"/>
      <c r="D16" s="66"/>
      <c r="E16" s="45"/>
      <c r="H16" s="67"/>
      <c r="I16" s="68"/>
      <c r="J16" s="67"/>
      <c r="K16" s="67"/>
    </row>
    <row r="17" spans="1:11" ht="17">
      <c r="A17" s="65">
        <f t="shared" si="0"/>
        <v>40428</v>
      </c>
      <c r="B17" s="45">
        <v>1005.7636142129491</v>
      </c>
      <c r="C17" s="45"/>
      <c r="D17" s="66"/>
      <c r="E17" s="45"/>
      <c r="H17" s="67"/>
      <c r="I17" s="68"/>
      <c r="J17" s="67">
        <v>401020</v>
      </c>
      <c r="K17" s="67"/>
    </row>
    <row r="18" spans="1:11" ht="17">
      <c r="A18" s="65">
        <f t="shared" si="0"/>
        <v>40435</v>
      </c>
      <c r="B18" s="45">
        <v>1205.0181063621765</v>
      </c>
      <c r="C18" s="45"/>
      <c r="D18" s="66"/>
      <c r="E18" s="45"/>
      <c r="H18" s="67"/>
      <c r="I18" s="68"/>
      <c r="J18" s="67">
        <v>720319</v>
      </c>
      <c r="K18" s="67">
        <f>J17/J18</f>
        <v>0.55672556186911637</v>
      </c>
    </row>
    <row r="19" spans="1:11" ht="17">
      <c r="A19" s="65">
        <f t="shared" si="0"/>
        <v>40442</v>
      </c>
      <c r="B19" s="45">
        <v>1426.9975342002715</v>
      </c>
      <c r="C19" s="45"/>
      <c r="D19" s="66"/>
      <c r="E19" s="45"/>
      <c r="H19" s="67"/>
      <c r="I19" s="68"/>
      <c r="J19" s="67"/>
      <c r="K19" s="67"/>
    </row>
    <row r="20" spans="1:11" ht="17">
      <c r="A20" s="65">
        <f t="shared" si="0"/>
        <v>40449</v>
      </c>
      <c r="B20" s="45">
        <v>1672.6295932424985</v>
      </c>
      <c r="C20" s="45"/>
      <c r="D20" s="66"/>
      <c r="E20" s="45"/>
      <c r="H20" s="67"/>
      <c r="I20" s="68"/>
      <c r="J20" s="67"/>
      <c r="K20" s="67"/>
    </row>
    <row r="21" spans="1:11" ht="17">
      <c r="A21" s="65">
        <f t="shared" si="0"/>
        <v>40456</v>
      </c>
      <c r="B21" s="45">
        <v>1942.8201583171901</v>
      </c>
      <c r="C21" s="45"/>
      <c r="D21" s="66"/>
      <c r="E21" s="45"/>
      <c r="H21" s="67"/>
      <c r="I21" s="68"/>
      <c r="J21" s="67"/>
      <c r="K21" s="67"/>
    </row>
    <row r="22" spans="1:11" ht="17">
      <c r="A22" s="65">
        <f t="shared" si="0"/>
        <v>40463</v>
      </c>
      <c r="B22" s="45">
        <v>2238.4550400228072</v>
      </c>
      <c r="C22" s="45"/>
      <c r="D22" s="66"/>
      <c r="E22" s="45"/>
      <c r="I22" s="68"/>
      <c r="J22" s="67"/>
      <c r="K22" s="67"/>
    </row>
    <row r="23" spans="1:11" ht="17">
      <c r="A23" s="65">
        <f t="shared" si="0"/>
        <v>40470</v>
      </c>
      <c r="B23" s="45">
        <v>2560.4015105849685</v>
      </c>
      <c r="C23" s="45"/>
      <c r="D23" s="66"/>
      <c r="E23" s="45"/>
      <c r="H23" s="67"/>
      <c r="I23" s="68"/>
      <c r="J23" s="67"/>
      <c r="K23" s="67"/>
    </row>
    <row r="24" spans="1:11" ht="17">
      <c r="A24" s="65">
        <f t="shared" si="0"/>
        <v>40477</v>
      </c>
      <c r="B24" s="45">
        <v>2909.5096398938526</v>
      </c>
      <c r="C24" s="45"/>
      <c r="D24" s="66"/>
      <c r="E24" s="45"/>
      <c r="H24" s="67"/>
      <c r="I24" s="68"/>
      <c r="J24" s="67"/>
      <c r="K24" s="67"/>
    </row>
    <row r="25" spans="1:11" ht="17">
      <c r="A25" s="65">
        <f t="shared" si="0"/>
        <v>40484</v>
      </c>
      <c r="B25" s="45">
        <v>3286.6134736149729</v>
      </c>
      <c r="C25" s="45"/>
      <c r="D25" s="66"/>
      <c r="E25" s="45"/>
      <c r="H25" s="67"/>
      <c r="I25" s="68"/>
      <c r="J25" s="67"/>
      <c r="K25" s="67"/>
    </row>
    <row r="26" spans="1:11" ht="17">
      <c r="A26" s="65">
        <f t="shared" si="0"/>
        <v>40491</v>
      </c>
      <c r="B26" s="45">
        <v>3692.5320786468692</v>
      </c>
      <c r="C26" s="45"/>
      <c r="D26" s="66"/>
      <c r="E26" s="45"/>
      <c r="H26" s="67"/>
      <c r="I26" s="68"/>
      <c r="J26" s="67"/>
      <c r="K26" s="67"/>
    </row>
    <row r="27" spans="1:11" ht="17">
      <c r="A27" s="65">
        <f t="shared" si="0"/>
        <v>40498</v>
      </c>
      <c r="B27" s="45">
        <v>4128.0704761918169</v>
      </c>
      <c r="C27" s="45"/>
      <c r="D27" s="66"/>
      <c r="E27" s="45"/>
      <c r="H27" s="67"/>
      <c r="I27" s="68"/>
      <c r="J27" s="67"/>
      <c r="K27" s="67"/>
    </row>
    <row r="28" spans="1:11" ht="17">
      <c r="A28" s="65">
        <f t="shared" si="0"/>
        <v>40505</v>
      </c>
      <c r="B28" s="45">
        <v>4594.0204788649189</v>
      </c>
      <c r="C28" s="45"/>
      <c r="D28" s="66"/>
      <c r="E28" s="45"/>
      <c r="H28" s="67"/>
      <c r="I28" s="68"/>
      <c r="J28" s="67"/>
      <c r="K28" s="67"/>
    </row>
    <row r="29" spans="1:11" ht="17">
      <c r="A29" s="65">
        <f t="shared" si="0"/>
        <v>40512</v>
      </c>
      <c r="B29" s="45">
        <v>5091.1614452836802</v>
      </c>
      <c r="C29" s="45"/>
      <c r="D29" s="66"/>
      <c r="E29" s="45"/>
      <c r="H29" s="67"/>
      <c r="I29" s="68"/>
      <c r="J29" s="67"/>
      <c r="K29" s="67"/>
    </row>
    <row r="30" spans="1:11" ht="17">
      <c r="A30" s="65">
        <f t="shared" si="0"/>
        <v>40519</v>
      </c>
      <c r="B30" s="45">
        <v>5620.2609632357817</v>
      </c>
      <c r="C30" s="45"/>
      <c r="D30" s="66"/>
      <c r="E30" s="45"/>
      <c r="H30" s="67"/>
      <c r="I30" s="68"/>
      <c r="J30" s="67"/>
      <c r="K30" s="67"/>
    </row>
    <row r="31" spans="1:11" ht="17">
      <c r="A31" s="65">
        <f t="shared" si="0"/>
        <v>40526</v>
      </c>
      <c r="B31" s="45">
        <v>6182.0754706624639</v>
      </c>
      <c r="C31" s="45"/>
      <c r="D31" s="66"/>
      <c r="E31" s="45"/>
      <c r="H31" s="67"/>
      <c r="I31" s="68"/>
      <c r="J31" s="67"/>
      <c r="K31" s="67"/>
    </row>
    <row r="32" spans="1:11" ht="17">
      <c r="A32" s="65">
        <f t="shared" si="0"/>
        <v>40533</v>
      </c>
      <c r="B32" s="45">
        <v>6777.3508222027558</v>
      </c>
      <c r="C32" s="45"/>
      <c r="D32" s="66"/>
      <c r="E32" s="45"/>
      <c r="H32" s="67"/>
      <c r="I32" s="68"/>
      <c r="J32" s="67"/>
      <c r="K32" s="67"/>
    </row>
    <row r="33" spans="1:11" ht="17">
      <c r="A33" s="65">
        <f t="shared" si="0"/>
        <v>40540</v>
      </c>
      <c r="B33" s="45">
        <v>7406.8228078377006</v>
      </c>
      <c r="C33" s="45"/>
      <c r="D33" s="66"/>
      <c r="E33" s="45"/>
      <c r="H33" s="67"/>
      <c r="I33" s="68"/>
      <c r="J33" s="67"/>
      <c r="K33" s="67"/>
    </row>
    <row r="34" spans="1:11" ht="17">
      <c r="A34" s="65">
        <f t="shared" si="0"/>
        <v>40547</v>
      </c>
      <c r="B34" s="45">
        <v>8071.2176291909136</v>
      </c>
      <c r="C34" s="45"/>
      <c r="D34" s="66"/>
      <c r="E34" s="45"/>
      <c r="H34" s="67"/>
      <c r="I34" s="68"/>
      <c r="J34" s="67"/>
      <c r="K34" s="67"/>
    </row>
    <row r="35" spans="1:11" ht="17">
      <c r="A35" s="65">
        <f t="shared" si="0"/>
        <v>40554</v>
      </c>
      <c r="B35" s="45">
        <v>8771.2523382333311</v>
      </c>
      <c r="C35" s="45"/>
      <c r="D35" s="66"/>
      <c r="E35" s="45"/>
      <c r="H35" s="67"/>
      <c r="I35" s="68"/>
      <c r="J35" s="67"/>
      <c r="K35" s="67"/>
    </row>
    <row r="36" spans="1:11" ht="17">
      <c r="A36" s="65">
        <f t="shared" si="0"/>
        <v>40561</v>
      </c>
      <c r="B36" s="45">
        <v>9507.6352424727265</v>
      </c>
      <c r="C36" s="45"/>
      <c r="D36" s="66"/>
      <c r="E36" s="45"/>
      <c r="H36" s="67"/>
      <c r="I36" s="68"/>
      <c r="J36" s="67"/>
      <c r="K36" s="67"/>
    </row>
    <row r="37" spans="1:11" ht="17">
      <c r="A37" s="65">
        <f t="shared" si="0"/>
        <v>40568</v>
      </c>
      <c r="B37" s="45">
        <v>10281.066280152047</v>
      </c>
      <c r="C37" s="45"/>
      <c r="D37" s="66"/>
      <c r="E37" s="45"/>
      <c r="H37" s="67"/>
      <c r="I37" s="68"/>
      <c r="J37" s="67"/>
      <c r="K37" s="67"/>
    </row>
    <row r="38" spans="1:11" ht="17">
      <c r="A38" s="65">
        <f t="shared" si="0"/>
        <v>40575</v>
      </c>
      <c r="B38" s="45">
        <v>11092.237368514619</v>
      </c>
      <c r="C38" s="45"/>
      <c r="D38" s="66"/>
      <c r="E38" s="45"/>
      <c r="H38" s="67"/>
      <c r="I38" s="68"/>
      <c r="J38" s="67"/>
      <c r="K38" s="67"/>
    </row>
    <row r="39" spans="1:11" ht="17">
      <c r="A39" s="65">
        <f t="shared" si="0"/>
        <v>40582</v>
      </c>
      <c r="B39" s="45">
        <v>11941.832727802665</v>
      </c>
      <c r="C39" s="45"/>
      <c r="D39" s="66"/>
      <c r="E39" s="45"/>
      <c r="H39" s="67"/>
      <c r="I39" s="68"/>
      <c r="J39" s="67"/>
      <c r="K39" s="67"/>
    </row>
    <row r="40" spans="1:11" ht="17">
      <c r="A40" s="65">
        <f t="shared" si="0"/>
        <v>40589</v>
      </c>
      <c r="B40" s="45">
        <v>12830.529183321982</v>
      </c>
      <c r="C40" s="45"/>
      <c r="D40" s="66"/>
      <c r="E40" s="45"/>
      <c r="H40" s="67"/>
      <c r="I40" s="68"/>
      <c r="J40" s="67"/>
      <c r="K40" s="67"/>
    </row>
    <row r="41" spans="1:11" ht="17">
      <c r="A41" s="65">
        <f t="shared" si="0"/>
        <v>40596</v>
      </c>
      <c r="B41" s="45">
        <v>13758.99644762434</v>
      </c>
      <c r="C41" s="45"/>
      <c r="D41" s="66"/>
      <c r="E41" s="45"/>
      <c r="H41" s="67"/>
      <c r="I41" s="68"/>
      <c r="J41" s="67"/>
      <c r="K41" s="67"/>
    </row>
    <row r="42" spans="1:11" ht="17">
      <c r="A42" s="65">
        <f t="shared" si="0"/>
        <v>40603</v>
      </c>
      <c r="B42" s="45">
        <v>14727.897384615948</v>
      </c>
      <c r="C42" s="45"/>
      <c r="D42" s="66"/>
      <c r="E42" s="45"/>
      <c r="H42" s="67"/>
      <c r="I42" s="68"/>
      <c r="J42" s="67"/>
      <c r="K42" s="67"/>
    </row>
    <row r="43" spans="1:11" ht="17">
      <c r="A43" s="65">
        <f t="shared" si="0"/>
        <v>40610</v>
      </c>
      <c r="B43" s="45">
        <v>15737.888257193505</v>
      </c>
      <c r="C43" s="45"/>
      <c r="D43" s="66"/>
      <c r="E43" s="45"/>
      <c r="H43" s="67"/>
      <c r="I43" s="68"/>
      <c r="J43" s="67"/>
      <c r="K43" s="67"/>
    </row>
    <row r="44" spans="1:11" ht="17">
      <c r="A44" s="65">
        <f t="shared" si="0"/>
        <v>40617</v>
      </c>
      <c r="B44" s="45">
        <v>16789.618959829932</v>
      </c>
      <c r="C44" s="45"/>
      <c r="D44" s="66"/>
      <c r="E44" s="45"/>
      <c r="H44" s="67"/>
      <c r="I44" s="68"/>
      <c r="J44" s="67"/>
      <c r="K44" s="67"/>
    </row>
    <row r="45" spans="1:11" ht="17">
      <c r="A45" s="65">
        <f t="shared" si="0"/>
        <v>40624</v>
      </c>
      <c r="B45" s="45">
        <v>17883.733237376251</v>
      </c>
      <c r="C45" s="45"/>
      <c r="D45" s="66"/>
      <c r="E45" s="45"/>
      <c r="H45" s="67"/>
      <c r="I45" s="68"/>
      <c r="J45" s="67"/>
      <c r="K45" s="67"/>
    </row>
    <row r="46" spans="1:11" ht="17">
      <c r="A46" s="65">
        <f t="shared" si="0"/>
        <v>40631</v>
      </c>
      <c r="B46" s="45">
        <v>19020.868891212518</v>
      </c>
      <c r="C46" s="45"/>
      <c r="D46" s="66"/>
      <c r="E46" s="45"/>
      <c r="H46" s="67"/>
      <c r="I46" s="68"/>
      <c r="J46" s="67"/>
      <c r="K46" s="67"/>
    </row>
    <row r="47" spans="1:11" ht="17">
      <c r="A47" s="65">
        <f t="shared" si="0"/>
        <v>40638</v>
      </c>
      <c r="B47" s="45">
        <v>20201.657973761176</v>
      </c>
      <c r="C47" s="45"/>
      <c r="D47" s="66"/>
      <c r="E47" s="45"/>
      <c r="H47" s="67"/>
      <c r="I47" s="68"/>
      <c r="J47" s="67"/>
      <c r="K47" s="67"/>
    </row>
    <row r="48" spans="1:11" ht="17">
      <c r="A48" s="65">
        <f t="shared" si="0"/>
        <v>40645</v>
      </c>
      <c r="B48" s="45">
        <v>21426.726972275039</v>
      </c>
      <c r="C48" s="45"/>
      <c r="D48" s="66"/>
      <c r="E48" s="45"/>
      <c r="H48" s="67"/>
      <c r="I48" s="68"/>
      <c r="J48" s="67"/>
      <c r="K48" s="67"/>
    </row>
    <row r="49" spans="1:11" ht="17">
      <c r="A49" s="65">
        <f t="shared" si="0"/>
        <v>40652</v>
      </c>
      <c r="B49" s="45">
        <v>22696.696982720528</v>
      </c>
      <c r="C49" s="45"/>
      <c r="D49" s="66"/>
      <c r="E49" s="45"/>
      <c r="H49" s="67"/>
      <c r="I49" s="68"/>
      <c r="J49" s="67"/>
      <c r="K49" s="67"/>
    </row>
    <row r="50" spans="1:11" ht="17">
      <c r="A50" s="65">
        <f t="shared" si="0"/>
        <v>40659</v>
      </c>
      <c r="B50" s="45">
        <v>24012.183874497594</v>
      </c>
      <c r="C50" s="45"/>
      <c r="D50" s="66"/>
      <c r="E50" s="45"/>
      <c r="H50" s="67"/>
      <c r="I50" s="68"/>
      <c r="J50" s="67"/>
      <c r="K50" s="67"/>
    </row>
    <row r="51" spans="1:11" ht="17">
      <c r="A51" s="65">
        <f t="shared" si="0"/>
        <v>40666</v>
      </c>
      <c r="B51" s="45">
        <v>25373.798446667628</v>
      </c>
      <c r="C51" s="45"/>
      <c r="D51" s="66"/>
      <c r="E51" s="45"/>
      <c r="H51" s="67"/>
      <c r="I51" s="68"/>
      <c r="J51" s="67"/>
      <c r="K51" s="67"/>
    </row>
    <row r="52" spans="1:11" ht="17">
      <c r="A52" s="65">
        <f t="shared" si="0"/>
        <v>40673</v>
      </c>
      <c r="B52" s="45">
        <v>26782.146576297375</v>
      </c>
      <c r="C52" s="45"/>
      <c r="D52" s="66"/>
      <c r="E52" s="45"/>
      <c r="H52" s="67"/>
      <c r="I52" s="68"/>
      <c r="J52" s="67"/>
      <c r="K52" s="67"/>
    </row>
    <row r="53" spans="1:11" ht="17">
      <c r="A53" s="65">
        <f t="shared" si="0"/>
        <v>40680</v>
      </c>
      <c r="B53" s="45">
        <v>28237.829359472806</v>
      </c>
      <c r="C53" s="45"/>
      <c r="D53" s="66"/>
      <c r="E53" s="45"/>
      <c r="H53" s="67"/>
      <c r="I53" s="68"/>
      <c r="J53" s="67"/>
      <c r="K53" s="67"/>
    </row>
    <row r="54" spans="1:11" ht="17">
      <c r="A54" s="65">
        <f t="shared" si="0"/>
        <v>40687</v>
      </c>
      <c r="B54" s="45">
        <v>29741.443245486687</v>
      </c>
      <c r="C54" s="45"/>
      <c r="D54" s="66"/>
      <c r="E54" s="45"/>
      <c r="H54" s="67"/>
      <c r="I54" s="68"/>
      <c r="J54" s="67"/>
      <c r="K54" s="67"/>
    </row>
    <row r="55" spans="1:11" ht="17">
      <c r="A55" s="65">
        <f t="shared" si="0"/>
        <v>40694</v>
      </c>
      <c r="B55" s="45">
        <v>31293.580164659663</v>
      </c>
      <c r="C55" s="45"/>
      <c r="D55" s="66"/>
      <c r="E55" s="45"/>
      <c r="H55" s="67"/>
      <c r="I55" s="68"/>
      <c r="J55" s="67"/>
      <c r="K55" s="67"/>
    </row>
    <row r="56" spans="1:11" ht="17">
      <c r="A56" s="65">
        <f t="shared" si="0"/>
        <v>40701</v>
      </c>
      <c r="B56" s="45">
        <v>32894.82765021579</v>
      </c>
      <c r="C56" s="45"/>
      <c r="D56" s="66"/>
      <c r="E56" s="45"/>
      <c r="H56" s="67"/>
      <c r="I56" s="68"/>
      <c r="J56" s="67"/>
      <c r="K56" s="67"/>
    </row>
    <row r="57" spans="1:11" ht="17">
      <c r="A57" s="65">
        <f t="shared" si="0"/>
        <v>40708</v>
      </c>
      <c r="B57" s="45">
        <v>34545.768954597748</v>
      </c>
      <c r="C57" s="45"/>
      <c r="D57" s="66"/>
      <c r="E57" s="45"/>
      <c r="H57" s="67"/>
      <c r="I57" s="68"/>
      <c r="J57" s="67"/>
      <c r="K57" s="67"/>
    </row>
    <row r="58" spans="1:11" ht="17">
      <c r="A58" s="65">
        <f t="shared" si="0"/>
        <v>40715</v>
      </c>
      <c r="B58" s="45">
        <v>36246.983160574891</v>
      </c>
      <c r="C58" s="45"/>
      <c r="D58" s="66"/>
      <c r="E58" s="45"/>
      <c r="H58" s="67"/>
      <c r="I58" s="68"/>
      <c r="J58" s="67"/>
      <c r="K58" s="67"/>
    </row>
    <row r="59" spans="1:11" ht="17">
      <c r="A59" s="65">
        <f t="shared" si="0"/>
        <v>40722</v>
      </c>
      <c r="B59" s="45">
        <v>37999.045287469307</v>
      </c>
      <c r="C59" s="45"/>
      <c r="D59" s="66"/>
      <c r="E59" s="45"/>
      <c r="H59" s="67"/>
      <c r="I59" s="68"/>
      <c r="J59" s="67"/>
      <c r="K59" s="67"/>
    </row>
    <row r="60" spans="1:11" ht="17">
      <c r="A60" s="65">
        <f t="shared" si="0"/>
        <v>40729</v>
      </c>
      <c r="B60" s="45">
        <v>39802.526392799438</v>
      </c>
      <c r="C60" s="45"/>
      <c r="D60" s="66"/>
      <c r="E60" s="45"/>
      <c r="H60" s="67"/>
      <c r="I60" s="68"/>
      <c r="J60" s="67"/>
      <c r="K60" s="67"/>
    </row>
    <row r="61" spans="1:11" ht="17">
      <c r="A61" s="65">
        <f t="shared" si="0"/>
        <v>40736</v>
      </c>
      <c r="B61" s="45">
        <v>41657.993669616597</v>
      </c>
      <c r="C61" s="45"/>
      <c r="D61" s="66"/>
      <c r="E61" s="45"/>
      <c r="H61" s="67"/>
      <c r="I61" s="68"/>
      <c r="J61" s="67"/>
      <c r="K61" s="67"/>
    </row>
    <row r="62" spans="1:11" ht="17">
      <c r="A62" s="65">
        <f t="shared" si="0"/>
        <v>40743</v>
      </c>
      <c r="B62" s="45">
        <v>43566.010539788644</v>
      </c>
      <c r="C62" s="45"/>
      <c r="D62" s="66"/>
      <c r="E62" s="45"/>
      <c r="H62" s="67"/>
      <c r="I62" s="68"/>
      <c r="J62" s="67"/>
      <c r="K62" s="67"/>
    </row>
    <row r="63" spans="1:11" ht="17">
      <c r="A63" s="65">
        <f t="shared" si="0"/>
        <v>40750</v>
      </c>
      <c r="B63" s="45">
        <v>45527.136743467207</v>
      </c>
      <c r="C63" s="45"/>
      <c r="D63" s="66"/>
      <c r="E63" s="45"/>
      <c r="H63" s="67"/>
      <c r="I63" s="68"/>
      <c r="J63" s="67"/>
      <c r="K63" s="67"/>
    </row>
    <row r="64" spans="1:11" ht="17">
      <c r="A64" s="65">
        <f t="shared" si="0"/>
        <v>40757</v>
      </c>
      <c r="B64" s="45">
        <v>47541.928424956655</v>
      </c>
      <c r="C64" s="45"/>
      <c r="D64" s="66"/>
      <c r="E64" s="45"/>
      <c r="H64" s="67"/>
      <c r="I64" s="68"/>
      <c r="J64" s="67"/>
      <c r="K64" s="67"/>
    </row>
    <row r="65" spans="1:15" ht="17">
      <c r="A65" s="65">
        <f t="shared" si="0"/>
        <v>40764</v>
      </c>
      <c r="B65" s="45">
        <v>49610.938215184906</v>
      </c>
      <c r="C65" s="45"/>
      <c r="D65" s="66"/>
      <c r="E65" s="45"/>
      <c r="H65" s="67"/>
      <c r="I65" s="68"/>
      <c r="J65" s="67"/>
      <c r="K65" s="67"/>
    </row>
    <row r="66" spans="1:15" ht="17">
      <c r="A66" s="65">
        <f t="shared" si="0"/>
        <v>40771</v>
      </c>
      <c r="B66" s="45">
        <v>51734.715310967091</v>
      </c>
      <c r="C66" s="45"/>
      <c r="D66" s="66"/>
      <c r="E66" s="45"/>
      <c r="H66" s="67"/>
      <c r="I66" s="68"/>
      <c r="J66" s="67"/>
      <c r="K66" s="67"/>
    </row>
    <row r="67" spans="1:15" ht="17">
      <c r="A67" s="65">
        <f t="shared" si="0"/>
        <v>40778</v>
      </c>
      <c r="B67" s="45">
        <v>53913.805551233796</v>
      </c>
      <c r="C67" s="45"/>
      <c r="D67" s="66"/>
      <c r="E67" s="45"/>
      <c r="H67" s="67"/>
      <c r="I67" s="68"/>
      <c r="J67" s="67"/>
      <c r="K67" s="67"/>
    </row>
    <row r="68" spans="1:15" ht="17">
      <c r="A68" s="65">
        <f t="shared" si="0"/>
        <v>40785</v>
      </c>
      <c r="B68" s="45">
        <v>56148.751490387098</v>
      </c>
      <c r="C68" s="45"/>
      <c r="D68" s="66"/>
      <c r="E68" s="45"/>
      <c r="H68" s="67"/>
      <c r="I68" s="68"/>
      <c r="J68" s="67"/>
      <c r="K68" s="67"/>
    </row>
    <row r="69" spans="1:15" ht="17">
      <c r="A69" s="65">
        <f t="shared" si="0"/>
        <v>40792</v>
      </c>
      <c r="B69" s="45">
        <v>58440.092468936586</v>
      </c>
      <c r="C69" s="45"/>
      <c r="D69" s="66"/>
      <c r="E69" s="45"/>
      <c r="H69" s="67"/>
      <c r="I69" s="68"/>
      <c r="J69" s="67"/>
      <c r="K69" s="67"/>
    </row>
    <row r="70" spans="1:15" ht="17">
      <c r="A70" s="65">
        <f t="shared" ref="A70:A133" si="1">A69+7</f>
        <v>40799</v>
      </c>
      <c r="B70" s="45">
        <v>60788.364681554987</v>
      </c>
      <c r="C70" s="45"/>
      <c r="D70" s="66"/>
      <c r="E70" s="45"/>
      <c r="H70" s="67"/>
      <c r="I70" s="68"/>
      <c r="J70" s="67"/>
      <c r="K70" s="67"/>
      <c r="L70" s="30"/>
      <c r="M70" s="30"/>
    </row>
    <row r="71" spans="1:15" ht="17">
      <c r="A71" s="65">
        <f t="shared" si="1"/>
        <v>40806</v>
      </c>
      <c r="B71" s="45">
        <v>63194.101242686076</v>
      </c>
      <c r="C71" s="45"/>
      <c r="D71" s="66"/>
      <c r="E71" s="45"/>
      <c r="H71" s="67"/>
      <c r="I71" s="68"/>
      <c r="J71" s="67"/>
      <c r="K71" s="67"/>
    </row>
    <row r="72" spans="1:15" ht="17">
      <c r="A72" s="65">
        <f t="shared" si="1"/>
        <v>40813</v>
      </c>
      <c r="B72" s="45">
        <v>65657.832249828498</v>
      </c>
      <c r="C72" s="45"/>
      <c r="D72" s="66"/>
      <c r="E72" s="45"/>
      <c r="H72" s="67"/>
      <c r="I72" s="68"/>
      <c r="J72" s="67"/>
      <c r="K72" s="67"/>
      <c r="M72" s="69"/>
    </row>
    <row r="73" spans="1:15" ht="17">
      <c r="A73" s="65">
        <f t="shared" si="1"/>
        <v>40820</v>
      </c>
      <c r="B73" s="45">
        <v>68180.084844609446</v>
      </c>
      <c r="C73" s="45"/>
      <c r="D73" s="66"/>
      <c r="E73" s="45"/>
      <c r="H73" s="67"/>
      <c r="I73" s="68"/>
      <c r="J73" s="67"/>
      <c r="K73" s="67"/>
    </row>
    <row r="74" spans="1:15" ht="17">
      <c r="A74" s="65">
        <f t="shared" si="1"/>
        <v>40827</v>
      </c>
      <c r="B74" s="45">
        <v>70761.383271756989</v>
      </c>
      <c r="C74" s="45"/>
      <c r="D74" s="66"/>
      <c r="E74" s="45"/>
      <c r="H74" s="67"/>
      <c r="I74" s="68"/>
      <c r="J74" s="67"/>
      <c r="K74" s="67"/>
      <c r="M74" s="69"/>
    </row>
    <row r="75" spans="1:15" ht="17">
      <c r="A75" s="65">
        <f t="shared" si="1"/>
        <v>40834</v>
      </c>
      <c r="B75" s="45">
        <v>73402.248936072705</v>
      </c>
      <c r="C75" s="45"/>
      <c r="D75" s="66"/>
      <c r="E75" s="45"/>
      <c r="F75" s="70"/>
      <c r="G75" s="70"/>
      <c r="H75" s="67"/>
      <c r="I75" s="68"/>
      <c r="J75" s="67"/>
      <c r="K75" s="67"/>
    </row>
    <row r="76" spans="1:15" ht="17">
      <c r="A76" s="65">
        <f t="shared" si="1"/>
        <v>40841</v>
      </c>
      <c r="B76" s="45">
        <v>76103.20045749846</v>
      </c>
      <c r="C76" s="45"/>
      <c r="D76" s="66"/>
      <c r="E76" s="45"/>
      <c r="I76" s="68"/>
      <c r="J76" s="67"/>
      <c r="K76" s="67"/>
      <c r="L76" s="30"/>
      <c r="M76" s="30"/>
      <c r="O76" s="69"/>
    </row>
    <row r="77" spans="1:15" ht="17">
      <c r="A77" s="65">
        <f t="shared" si="1"/>
        <v>40848</v>
      </c>
      <c r="B77" s="45">
        <v>78864.753724367358</v>
      </c>
      <c r="C77" s="45"/>
      <c r="D77" s="66">
        <v>1</v>
      </c>
      <c r="E77" s="1"/>
      <c r="H77" s="67"/>
      <c r="I77" s="68"/>
      <c r="J77" s="67"/>
      <c r="K77" s="67"/>
    </row>
    <row r="78" spans="1:15" ht="17">
      <c r="A78" s="65">
        <f t="shared" si="1"/>
        <v>40855</v>
      </c>
      <c r="B78" s="45">
        <v>81687.421944922782</v>
      </c>
      <c r="C78" s="45"/>
      <c r="D78" s="66">
        <v>7.0070150746544382</v>
      </c>
      <c r="E78" s="1"/>
      <c r="F78" s="31"/>
      <c r="G78" s="31"/>
      <c r="H78" s="67"/>
      <c r="I78" s="68"/>
      <c r="J78" s="67"/>
      <c r="K78" s="67"/>
      <c r="M78" s="71"/>
    </row>
    <row r="79" spans="1:15" ht="17">
      <c r="A79" s="65">
        <f t="shared" si="1"/>
        <v>40862</v>
      </c>
      <c r="B79" s="45">
        <v>84571.715697184787</v>
      </c>
      <c r="C79" s="45"/>
      <c r="D79" s="66">
        <v>21.884578187500558</v>
      </c>
      <c r="E79" s="1"/>
      <c r="F79" s="31"/>
      <c r="G79" s="31"/>
      <c r="H79" s="67"/>
      <c r="I79" s="68"/>
      <c r="J79" s="67"/>
      <c r="K79" s="67"/>
      <c r="M79" s="71"/>
    </row>
    <row r="80" spans="1:15" ht="17">
      <c r="A80" s="65">
        <f t="shared" si="1"/>
        <v>40869</v>
      </c>
      <c r="B80" s="45">
        <v>87518.142977235562</v>
      </c>
      <c r="C80" s="45"/>
      <c r="D80" s="66">
        <v>49.098260256434536</v>
      </c>
      <c r="E80" s="1"/>
      <c r="F80" s="31"/>
      <c r="G80" s="31"/>
      <c r="H80" s="67"/>
      <c r="I80" s="68"/>
      <c r="J80" s="67"/>
      <c r="K80" s="67"/>
      <c r="M80" s="71"/>
    </row>
    <row r="81" spans="1:13" ht="17">
      <c r="A81" s="65">
        <f t="shared" si="1"/>
        <v>40876</v>
      </c>
      <c r="B81" s="45">
        <v>90527.209245999242</v>
      </c>
      <c r="C81" s="45"/>
      <c r="D81" s="66">
        <v>91.889724232285204</v>
      </c>
      <c r="E81" s="1"/>
      <c r="F81" s="31"/>
      <c r="G81" s="31"/>
      <c r="H81" s="67"/>
      <c r="I81" s="68"/>
      <c r="J81" s="67"/>
      <c r="K81" s="67"/>
      <c r="M81" s="71"/>
    </row>
    <row r="82" spans="1:13" ht="17">
      <c r="A82" s="65">
        <f t="shared" si="1"/>
        <v>40883</v>
      </c>
      <c r="B82" s="45">
        <v>93599.417474576665</v>
      </c>
      <c r="C82" s="45"/>
      <c r="D82" s="66">
        <v>153.34556926227</v>
      </c>
      <c r="E82" s="1"/>
      <c r="F82" s="31"/>
      <c r="G82" s="31"/>
      <c r="H82" s="67"/>
      <c r="I82" s="68"/>
      <c r="J82" s="67"/>
      <c r="K82" s="67"/>
      <c r="M82" s="71"/>
    </row>
    <row r="83" spans="1:13" ht="17">
      <c r="A83" s="65">
        <f t="shared" si="1"/>
        <v>40890</v>
      </c>
      <c r="B83" s="45">
        <v>96735.268188199843</v>
      </c>
      <c r="C83" s="45"/>
      <c r="D83" s="66">
        <v>236.43478672344057</v>
      </c>
      <c r="E83" s="1"/>
      <c r="F83" s="31"/>
      <c r="G83" s="31"/>
      <c r="H83" s="67"/>
      <c r="I83" s="68"/>
      <c r="J83" s="67"/>
      <c r="K83" s="67"/>
      <c r="M83" s="71"/>
    </row>
    <row r="84" spans="1:13" ht="17">
      <c r="A84" s="65">
        <f t="shared" si="1"/>
        <v>40897</v>
      </c>
      <c r="B84" s="45">
        <v>99935.259508867966</v>
      </c>
      <c r="C84" s="45"/>
      <c r="D84" s="66">
        <v>344.03224975614359</v>
      </c>
      <c r="E84" s="1"/>
      <c r="F84" s="31"/>
      <c r="G84" s="31"/>
      <c r="H84" s="67"/>
      <c r="I84" s="68"/>
      <c r="J84" s="67"/>
      <c r="K84" s="67"/>
      <c r="M84" s="71"/>
    </row>
    <row r="85" spans="1:13" ht="17">
      <c r="A85" s="65">
        <f t="shared" si="1"/>
        <v>40904</v>
      </c>
      <c r="B85" s="45">
        <v>103199.88719671236</v>
      </c>
      <c r="C85" s="45"/>
      <c r="D85" s="66">
        <v>478.93476244482525</v>
      </c>
      <c r="E85" s="1"/>
      <c r="F85" s="31"/>
      <c r="G85" s="31"/>
      <c r="H85" s="67"/>
      <c r="I85" s="68"/>
      <c r="J85" s="67"/>
      <c r="K85" s="67"/>
      <c r="M85" s="71"/>
    </row>
    <row r="86" spans="1:13" ht="17">
      <c r="A86" s="65">
        <f t="shared" si="1"/>
        <v>40911</v>
      </c>
      <c r="B86" s="45">
        <v>106529.64469015489</v>
      </c>
      <c r="C86" s="45"/>
      <c r="D86" s="66">
        <v>643.87268290146176</v>
      </c>
      <c r="E86" s="1"/>
      <c r="F86" s="31"/>
      <c r="G86" s="31"/>
      <c r="H86" s="72"/>
      <c r="I86" s="68"/>
      <c r="J86" s="67"/>
      <c r="K86" s="67"/>
      <c r="M86" s="71"/>
    </row>
    <row r="87" spans="1:13" ht="17">
      <c r="A87" s="65">
        <f t="shared" si="1"/>
        <v>40918</v>
      </c>
      <c r="B87" s="45">
        <v>109925.02314489805</v>
      </c>
      <c r="C87" s="45"/>
      <c r="D87" s="66">
        <v>841.51870557917744</v>
      </c>
      <c r="E87" s="1"/>
      <c r="F87" s="31"/>
      <c r="G87" s="31"/>
      <c r="H87" s="67"/>
      <c r="I87" s="68"/>
      <c r="J87" s="67"/>
      <c r="K87" s="67"/>
      <c r="M87" s="71"/>
    </row>
    <row r="88" spans="1:13" ht="17">
      <c r="A88" s="65">
        <f t="shared" si="1"/>
        <v>40925</v>
      </c>
      <c r="B88" s="45">
        <v>113386.51147180254</v>
      </c>
      <c r="C88" s="45"/>
      <c r="D88" s="66">
        <v>1074.4947154521924</v>
      </c>
      <c r="E88" s="1"/>
      <c r="F88" s="31"/>
      <c r="G88" s="31"/>
      <c r="H88" s="72"/>
      <c r="I88" s="68"/>
      <c r="J88" s="67"/>
      <c r="K88" s="67"/>
      <c r="M88" s="71"/>
    </row>
    <row r="89" spans="1:13" ht="17">
      <c r="A89" s="65">
        <f t="shared" si="1"/>
        <v>40932</v>
      </c>
      <c r="B89" s="45">
        <v>116914.59637369105</v>
      </c>
      <c r="C89" s="45"/>
      <c r="D89" s="66">
        <v>1345.377275910256</v>
      </c>
      <c r="E89" s="1"/>
      <c r="F89" s="31"/>
      <c r="G89" s="31"/>
      <c r="H89" s="67"/>
      <c r="I89" s="68"/>
      <c r="J89" s="67"/>
      <c r="K89" s="67"/>
      <c r="M89" s="71"/>
    </row>
    <row r="90" spans="1:13" ht="17">
      <c r="A90" s="65">
        <f t="shared" si="1"/>
        <v>40939</v>
      </c>
      <c r="B90" s="45">
        <v>120509.76238112772</v>
      </c>
      <c r="C90" s="45"/>
      <c r="D90" s="66">
        <v>1656.7021147438554</v>
      </c>
      <c r="E90" s="1"/>
      <c r="F90" s="31"/>
      <c r="G90" s="31"/>
      <c r="H90" s="67"/>
      <c r="I90" s="68"/>
      <c r="K90" s="67"/>
      <c r="M90" s="71"/>
    </row>
    <row r="91" spans="1:13" ht="17">
      <c r="A91" s="65">
        <f t="shared" si="1"/>
        <v>40946</v>
      </c>
      <c r="B91" s="45">
        <v>124172.4918872038</v>
      </c>
      <c r="C91" s="45"/>
      <c r="D91" s="66">
        <v>2010.9678545893084</v>
      </c>
      <c r="E91" s="1"/>
      <c r="F91" s="31"/>
      <c r="G91" s="31"/>
      <c r="I91" s="68"/>
      <c r="J91" s="67"/>
      <c r="K91" s="67"/>
      <c r="M91" s="71"/>
    </row>
    <row r="92" spans="1:13" ht="17">
      <c r="A92" s="65">
        <f t="shared" si="1"/>
        <v>40953</v>
      </c>
      <c r="B92" s="45">
        <v>127903.26518137852</v>
      </c>
      <c r="C92" s="45"/>
      <c r="D92" s="66">
        <v>2410.6391602085791</v>
      </c>
      <c r="E92" s="1"/>
      <c r="F92" s="31"/>
      <c r="G92" s="31"/>
      <c r="H92" s="67"/>
      <c r="I92" s="68"/>
      <c r="J92" s="67"/>
      <c r="K92" s="67"/>
      <c r="M92" s="71"/>
    </row>
    <row r="93" spans="1:13" ht="17">
      <c r="A93" s="65">
        <f t="shared" si="1"/>
        <v>40960</v>
      </c>
      <c r="B93" s="45">
        <v>131702.56048240539</v>
      </c>
      <c r="C93" s="45"/>
      <c r="D93" s="66">
        <v>2858.1494267060843</v>
      </c>
      <c r="E93" s="1"/>
      <c r="F93" s="31"/>
      <c r="G93" s="31"/>
      <c r="H93" s="67"/>
      <c r="I93" s="68"/>
      <c r="J93" s="67"/>
      <c r="K93" s="67"/>
      <c r="M93" s="71"/>
    </row>
    <row r="94" spans="1:13" ht="17">
      <c r="A94" s="65">
        <f t="shared" si="1"/>
        <v>40967</v>
      </c>
      <c r="B94" s="45">
        <v>135570.85397037596</v>
      </c>
      <c r="C94" s="45"/>
      <c r="D94" s="66">
        <v>3355.9031002269276</v>
      </c>
      <c r="E94" s="1"/>
      <c r="F94" s="31"/>
      <c r="G94" s="31"/>
      <c r="H94" s="67"/>
      <c r="I94" s="68"/>
      <c r="J94" s="67"/>
      <c r="K94" s="67"/>
      <c r="M94" s="71"/>
    </row>
    <row r="95" spans="1:13" ht="17">
      <c r="A95" s="65">
        <f t="shared" si="1"/>
        <v>40974</v>
      </c>
      <c r="B95" s="45">
        <v>139508.6198179241</v>
      </c>
      <c r="C95" s="45"/>
      <c r="D95" s="66">
        <v>3906.2777000903488</v>
      </c>
      <c r="E95" s="1"/>
      <c r="F95" s="31"/>
      <c r="G95" s="31"/>
      <c r="H95" s="67"/>
      <c r="I95" s="68"/>
      <c r="J95" s="67"/>
      <c r="K95" s="67"/>
      <c r="M95" s="71"/>
    </row>
    <row r="96" spans="1:13" ht="17">
      <c r="A96" s="65">
        <f t="shared" si="1"/>
        <v>40981</v>
      </c>
      <c r="B96" s="45">
        <v>143516.33022060888</v>
      </c>
      <c r="C96" s="45"/>
      <c r="D96" s="66">
        <v>4511.6255952487318</v>
      </c>
      <c r="E96" s="1"/>
      <c r="F96" s="31"/>
      <c r="G96" s="31"/>
      <c r="H96" s="67"/>
      <c r="I96" s="68"/>
      <c r="J96" s="67"/>
      <c r="K96" s="67"/>
      <c r="M96" s="71"/>
    </row>
    <row r="97" spans="1:13" ht="17">
      <c r="A97" s="65">
        <f t="shared" si="1"/>
        <v>40988</v>
      </c>
      <c r="B97" s="45">
        <v>147594.45542651982</v>
      </c>
      <c r="C97" s="45"/>
      <c r="D97" s="66">
        <v>5174.2755762941588</v>
      </c>
      <c r="E97" s="1"/>
      <c r="F97" s="31"/>
      <c r="G97" s="31"/>
      <c r="H97" s="72"/>
      <c r="I97" s="68"/>
      <c r="J97" s="67"/>
      <c r="K97" s="67"/>
      <c r="M97" s="71"/>
    </row>
    <row r="98" spans="1:13" ht="17">
      <c r="A98" s="65">
        <f t="shared" si="1"/>
        <v>40995</v>
      </c>
      <c r="B98" s="45">
        <v>151743.46376511984</v>
      </c>
      <c r="C98" s="45"/>
      <c r="D98" s="66">
        <v>5896.5342555969874</v>
      </c>
      <c r="E98" s="1"/>
      <c r="F98" s="31"/>
      <c r="G98" s="31"/>
      <c r="I98" s="67"/>
      <c r="J98" s="68"/>
      <c r="K98" s="67"/>
      <c r="M98" s="71"/>
    </row>
    <row r="99" spans="1:13" ht="17">
      <c r="A99" s="65">
        <f t="shared" si="1"/>
        <v>41002</v>
      </c>
      <c r="B99" s="45">
        <v>155963.82167536332</v>
      </c>
      <c r="C99" s="45"/>
      <c r="D99" s="66">
        <v>6680.6873216606682</v>
      </c>
      <c r="E99" s="1"/>
      <c r="F99" s="31"/>
      <c r="H99" s="67"/>
      <c r="I99" s="68"/>
      <c r="J99" s="67"/>
      <c r="K99" s="67"/>
      <c r="M99" s="71"/>
    </row>
    <row r="100" spans="1:13" ht="17">
      <c r="A100" s="65">
        <f t="shared" si="1"/>
        <v>41009</v>
      </c>
      <c r="B100" s="45">
        <v>160255.99373310918</v>
      </c>
      <c r="C100" s="45"/>
      <c r="D100" s="66">
        <v>7529.0006688100511</v>
      </c>
      <c r="E100" s="1"/>
      <c r="F100" s="31"/>
      <c r="H100" s="67"/>
      <c r="I100" s="68"/>
      <c r="J100" s="67"/>
      <c r="K100" s="67"/>
      <c r="M100" s="71"/>
    </row>
    <row r="101" spans="1:13" ht="17">
      <c r="A101" s="65">
        <f t="shared" si="1"/>
        <v>41016</v>
      </c>
      <c r="B101" s="45">
        <v>164620.44267785494</v>
      </c>
      <c r="C101" s="45"/>
      <c r="D101" s="66">
        <v>8443.7214194854223</v>
      </c>
      <c r="E101" s="1"/>
      <c r="F101" s="31"/>
      <c r="H101" s="67"/>
      <c r="I101" s="68"/>
      <c r="J101" s="67"/>
      <c r="K101" s="67"/>
      <c r="M101" s="71"/>
    </row>
    <row r="102" spans="1:13" ht="17">
      <c r="A102" s="65">
        <f t="shared" si="1"/>
        <v>41023</v>
      </c>
      <c r="B102" s="45">
        <v>169057.62943881826</v>
      </c>
      <c r="C102" s="45"/>
      <c r="D102" s="66">
        <v>9427.078853400697</v>
      </c>
      <c r="E102" s="1"/>
      <c r="F102" s="31"/>
      <c r="H102" s="67"/>
      <c r="I102" s="68"/>
      <c r="J102" s="67"/>
      <c r="K102" s="67"/>
      <c r="M102" s="71"/>
    </row>
    <row r="103" spans="1:13" ht="17">
      <c r="A103" s="65">
        <f t="shared" si="1"/>
        <v>41030</v>
      </c>
      <c r="B103" s="45">
        <v>173568.01316038496</v>
      </c>
      <c r="C103" s="45"/>
      <c r="D103" s="66">
        <v>10481.285255435765</v>
      </c>
      <c r="E103" s="1"/>
      <c r="F103" s="31"/>
      <c r="H103" s="67"/>
      <c r="I103" s="68"/>
      <c r="J103" s="67"/>
      <c r="K103" s="67"/>
      <c r="M103" s="71"/>
    </row>
    <row r="104" spans="1:13" ht="17">
      <c r="A104" s="65">
        <f t="shared" si="1"/>
        <v>41037</v>
      </c>
      <c r="B104" s="45">
        <v>178152.05122694475</v>
      </c>
      <c r="C104" s="45"/>
      <c r="D104" s="66">
        <v>11608.536692222073</v>
      </c>
      <c r="E104" s="1"/>
      <c r="F104" s="31"/>
      <c r="H104" s="67"/>
      <c r="I104" s="68"/>
      <c r="J104" s="67"/>
      <c r="K104" s="67"/>
      <c r="M104" s="71"/>
    </row>
    <row r="105" spans="1:13" ht="17">
      <c r="A105" s="65">
        <f t="shared" si="1"/>
        <v>41044</v>
      </c>
      <c r="B105" s="45">
        <v>182810.19928713967</v>
      </c>
      <c r="C105" s="45"/>
      <c r="D105" s="66">
        <v>12811.013725835413</v>
      </c>
      <c r="E105" s="1"/>
      <c r="F105" s="31"/>
      <c r="H105" s="67"/>
      <c r="I105" s="68"/>
      <c r="J105" s="67"/>
      <c r="K105" s="67"/>
      <c r="M105" s="71"/>
    </row>
    <row r="106" spans="1:13" ht="17">
      <c r="A106" s="65">
        <f t="shared" si="1"/>
        <v>41051</v>
      </c>
      <c r="B106" s="45">
        <v>187542.91127754087</v>
      </c>
      <c r="C106" s="45"/>
      <c r="D106" s="66">
        <v>14090.882071752794</v>
      </c>
      <c r="E106" s="1"/>
      <c r="F106" s="31"/>
      <c r="H106" s="67"/>
      <c r="I106" s="68"/>
      <c r="J106" s="67"/>
      <c r="K106" s="67"/>
      <c r="M106" s="71"/>
    </row>
    <row r="107" spans="1:13" ht="17">
      <c r="A107" s="65">
        <f t="shared" si="1"/>
        <v>41058</v>
      </c>
      <c r="B107" s="45">
        <v>192350.63944577242</v>
      </c>
      <c r="C107" s="45"/>
      <c r="D107" s="66">
        <v>15450.293207196401</v>
      </c>
      <c r="E107" s="1"/>
      <c r="F107" s="31"/>
      <c r="H107" s="67"/>
      <c r="I107" s="68"/>
      <c r="J107" s="67"/>
      <c r="K107" s="67"/>
      <c r="M107" s="71"/>
    </row>
    <row r="108" spans="1:13" ht="17">
      <c r="A108" s="65">
        <f t="shared" si="1"/>
        <v>41065</v>
      </c>
      <c r="B108" s="45">
        <v>197233.83437310453</v>
      </c>
      <c r="C108" s="45"/>
      <c r="D108" s="66">
        <v>16891.384935133818</v>
      </c>
      <c r="E108" s="1"/>
      <c r="F108" s="31"/>
      <c r="H108" s="67"/>
      <c r="I108" s="68"/>
      <c r="J108" s="67"/>
      <c r="K108" s="67"/>
      <c r="M108" s="71"/>
    </row>
    <row r="109" spans="1:13" ht="17">
      <c r="A109" s="65">
        <f t="shared" si="1"/>
        <v>41072</v>
      </c>
      <c r="B109" s="45">
        <v>202192.94499652839</v>
      </c>
      <c r="C109" s="45"/>
      <c r="D109" s="66">
        <v>18416.281908491739</v>
      </c>
      <c r="E109" s="1"/>
      <c r="F109" s="31"/>
      <c r="H109" s="67"/>
      <c r="I109" s="68"/>
      <c r="J109" s="67"/>
      <c r="K109" s="67"/>
      <c r="M109" s="71"/>
    </row>
    <row r="110" spans="1:13" ht="17">
      <c r="A110" s="65">
        <f t="shared" si="1"/>
        <v>41079</v>
      </c>
      <c r="B110" s="45">
        <v>207228.41863033231</v>
      </c>
      <c r="C110" s="45"/>
      <c r="D110" s="66">
        <v>20027.096118544458</v>
      </c>
      <c r="E110" s="1"/>
      <c r="F110" s="31"/>
      <c r="H110" s="67"/>
      <c r="I110" s="68"/>
      <c r="J110" s="67"/>
      <c r="K110" s="67"/>
      <c r="M110" s="71"/>
    </row>
    <row r="111" spans="1:13" ht="17">
      <c r="A111" s="65">
        <f t="shared" si="1"/>
        <v>41086</v>
      </c>
      <c r="B111" s="45">
        <v>212340.70098719464</v>
      </c>
      <c r="C111" s="45"/>
      <c r="D111" s="66">
        <v>21725.927350936101</v>
      </c>
      <c r="E111" s="1"/>
      <c r="F111" s="31"/>
      <c r="H111" s="67"/>
      <c r="I111" s="68"/>
      <c r="J111" s="67"/>
      <c r="K111" s="67"/>
      <c r="M111" s="71"/>
    </row>
    <row r="112" spans="1:13" ht="17">
      <c r="A112" s="65">
        <f t="shared" si="1"/>
        <v>41093</v>
      </c>
      <c r="B112" s="45">
        <v>217530.23619880527</v>
      </c>
      <c r="C112" s="45"/>
      <c r="D112" s="66">
        <v>23514.863612369649</v>
      </c>
      <c r="E112" s="1"/>
      <c r="F112" s="31"/>
      <c r="H112" s="67"/>
      <c r="I112" s="68"/>
      <c r="J112" s="67"/>
      <c r="K112" s="67"/>
      <c r="M112" s="71"/>
    </row>
    <row r="113" spans="1:110" ht="17">
      <c r="A113" s="65">
        <f t="shared" si="1"/>
        <v>41100</v>
      </c>
      <c r="B113" s="45">
        <v>222797.4668360402</v>
      </c>
      <c r="C113" s="45"/>
      <c r="D113" s="66">
        <v>25395.981530632595</v>
      </c>
      <c r="E113" s="1"/>
      <c r="F113" s="31"/>
      <c r="H113" s="67"/>
      <c r="I113" s="68"/>
      <c r="J113" s="67"/>
      <c r="K113" s="67"/>
      <c r="M113" s="71"/>
    </row>
    <row r="114" spans="1:110" ht="17">
      <c r="A114" s="65">
        <f t="shared" si="1"/>
        <v>41107</v>
      </c>
      <c r="B114" s="45">
        <v>228142.833928687</v>
      </c>
      <c r="C114" s="45"/>
      <c r="D114" s="66">
        <v>27371.34673031955</v>
      </c>
      <c r="E114" s="1"/>
      <c r="F114" s="31"/>
      <c r="H114" s="67"/>
      <c r="I114" s="68"/>
      <c r="J114" s="67"/>
      <c r="K114" s="67"/>
      <c r="M114" s="71"/>
    </row>
    <row r="115" spans="1:110" ht="17">
      <c r="A115" s="65">
        <f t="shared" si="1"/>
        <v>41114</v>
      </c>
      <c r="B115" s="45">
        <v>233566.77698475367</v>
      </c>
      <c r="C115" s="45"/>
      <c r="D115" s="66">
        <v>29443.014186344484</v>
      </c>
      <c r="E115" s="1"/>
      <c r="F115" s="31"/>
      <c r="I115" s="68"/>
      <c r="J115" s="67"/>
      <c r="K115" s="67"/>
      <c r="M115" s="71"/>
    </row>
    <row r="116" spans="1:110" ht="17">
      <c r="A116" s="65">
        <f t="shared" si="1"/>
        <v>41121</v>
      </c>
      <c r="B116" s="45">
        <v>239069.73400935621</v>
      </c>
      <c r="C116" s="45"/>
      <c r="D116" s="66">
        <v>31613.028557104728</v>
      </c>
      <c r="E116" s="1"/>
      <c r="F116" s="31"/>
      <c r="H116" s="67"/>
      <c r="I116" s="68"/>
      <c r="J116" s="67"/>
      <c r="K116" s="67"/>
      <c r="M116" s="71"/>
    </row>
    <row r="117" spans="1:110" ht="17">
      <c r="A117" s="65">
        <f t="shared" si="1"/>
        <v>41128</v>
      </c>
      <c r="B117" s="45">
        <v>244652.14152320958</v>
      </c>
      <c r="C117" s="45"/>
      <c r="D117" s="66">
        <v>33883.42449895911</v>
      </c>
      <c r="E117" s="1"/>
      <c r="F117" s="31"/>
      <c r="H117" s="67"/>
      <c r="I117" s="68"/>
      <c r="J117" s="67"/>
      <c r="K117" s="67"/>
      <c r="M117" s="71"/>
    </row>
    <row r="118" spans="1:110" ht="17">
      <c r="A118" s="65">
        <f t="shared" si="1"/>
        <v>41135</v>
      </c>
      <c r="B118" s="45">
        <v>250314.43458072984</v>
      </c>
      <c r="C118" s="45"/>
      <c r="D118" s="66">
        <v>36256.226963509456</v>
      </c>
      <c r="E118" s="1"/>
      <c r="F118" s="31"/>
      <c r="H118" s="67"/>
      <c r="I118" s="68"/>
      <c r="J118" s="67"/>
      <c r="K118" s="67"/>
      <c r="M118" s="71"/>
    </row>
    <row r="119" spans="1:110" ht="17">
      <c r="A119" s="65">
        <f t="shared" si="1"/>
        <v>41142</v>
      </c>
      <c r="B119" s="45">
        <v>256057.04678775775</v>
      </c>
      <c r="C119" s="45"/>
      <c r="D119" s="66">
        <v>38733.451479020703</v>
      </c>
      <c r="E119" s="1"/>
      <c r="F119" s="31"/>
      <c r="H119" s="67"/>
      <c r="I119" s="68"/>
      <c r="J119" s="67"/>
      <c r="K119" s="67"/>
      <c r="M119" s="71"/>
      <c r="U119">
        <v>13504.57899846512</v>
      </c>
      <c r="V119">
        <v>13909.716368419075</v>
      </c>
      <c r="W119">
        <v>14327.007859471647</v>
      </c>
      <c r="X119">
        <v>14756.818095255796</v>
      </c>
      <c r="Y119">
        <v>15199.522638113471</v>
      </c>
      <c r="Z119">
        <v>15655.508317256876</v>
      </c>
      <c r="AA119">
        <v>16125.173566774582</v>
      </c>
      <c r="AB119">
        <v>16608.928773777818</v>
      </c>
      <c r="AC119">
        <v>17107.196636991153</v>
      </c>
      <c r="AD119">
        <v>17620.412536100888</v>
      </c>
      <c r="AE119">
        <v>18149.024912183915</v>
      </c>
      <c r="AF119">
        <v>18693.495659549433</v>
      </c>
      <c r="AG119">
        <v>19254.300529335917</v>
      </c>
      <c r="AH119">
        <v>19831.929545215993</v>
      </c>
      <c r="AI119">
        <v>20426.887431572475</v>
      </c>
      <c r="AJ119">
        <v>21039.694054519648</v>
      </c>
      <c r="AK119">
        <v>21670.88487615524</v>
      </c>
      <c r="AL119">
        <v>22321.011422439897</v>
      </c>
      <c r="AM119">
        <v>22990.641765113094</v>
      </c>
      <c r="AN119">
        <v>23680.361018066487</v>
      </c>
      <c r="AO119">
        <v>24390.771848608481</v>
      </c>
      <c r="AP119">
        <v>25122.495004066735</v>
      </c>
      <c r="AQ119">
        <v>25876.169854188738</v>
      </c>
      <c r="AR119">
        <v>26652.454949814401</v>
      </c>
      <c r="AS119">
        <v>27452.028598308832</v>
      </c>
      <c r="AT119">
        <v>28275.589456258098</v>
      </c>
      <c r="AU119">
        <v>29123.857139945841</v>
      </c>
      <c r="AV119">
        <v>29997.572854144219</v>
      </c>
      <c r="AW119">
        <v>30897.500039768547</v>
      </c>
      <c r="AX119">
        <v>31824.425040961603</v>
      </c>
      <c r="AY119">
        <v>32779.157792190454</v>
      </c>
      <c r="AZ119">
        <v>33762.532525956165</v>
      </c>
      <c r="BA119">
        <v>34775.408501734848</v>
      </c>
      <c r="BB119">
        <v>35818.670756786894</v>
      </c>
      <c r="BC119">
        <v>36893.230879490504</v>
      </c>
      <c r="BD119">
        <v>38000.027805875223</v>
      </c>
      <c r="BE119">
        <v>39140.028640051481</v>
      </c>
      <c r="BF119">
        <v>40314.22949925303</v>
      </c>
      <c r="BG119">
        <v>41523.65638423062</v>
      </c>
      <c r="BH119">
        <v>42769.366075757542</v>
      </c>
      <c r="BI119">
        <v>44052.447058030266</v>
      </c>
      <c r="BJ119">
        <v>45374.020469771174</v>
      </c>
      <c r="BK119">
        <v>46735.241083864312</v>
      </c>
      <c r="BL119">
        <v>48137.298316380242</v>
      </c>
      <c r="BM119">
        <v>49581.417265871649</v>
      </c>
      <c r="BN119">
        <v>51068.859783847802</v>
      </c>
      <c r="BO119">
        <v>52600.925577363239</v>
      </c>
      <c r="BP119">
        <v>54178.953344684138</v>
      </c>
      <c r="BQ119">
        <v>55804.321945024662</v>
      </c>
      <c r="BR119">
        <v>57478.451603375404</v>
      </c>
      <c r="BS119">
        <v>59202.80515147667</v>
      </c>
      <c r="BT119">
        <v>60978.889306020974</v>
      </c>
      <c r="BU119">
        <v>62808.255985201606</v>
      </c>
      <c r="BV119">
        <v>64692.503664757656</v>
      </c>
      <c r="BW119">
        <v>66633.278774700389</v>
      </c>
      <c r="BX119">
        <v>68632.277137941404</v>
      </c>
      <c r="BY119">
        <v>70691.245452079645</v>
      </c>
      <c r="BZ119">
        <v>72811.982815642041</v>
      </c>
      <c r="CA119">
        <v>74996.342300111297</v>
      </c>
      <c r="CB119">
        <v>77246.23256911464</v>
      </c>
      <c r="CC119">
        <v>79563.619546188085</v>
      </c>
      <c r="CD119">
        <v>81950.528132573731</v>
      </c>
      <c r="CE119">
        <v>84409.043976550951</v>
      </c>
      <c r="CF119">
        <v>86941.315295847482</v>
      </c>
      <c r="CG119">
        <v>89549.554754722907</v>
      </c>
      <c r="CH119">
        <v>92236.041397364592</v>
      </c>
      <c r="CI119">
        <v>95003.122639285531</v>
      </c>
      <c r="CJ119">
        <v>97853.216318464096</v>
      </c>
      <c r="CK119">
        <v>100788.81280801802</v>
      </c>
      <c r="CL119">
        <v>103812.47719225856</v>
      </c>
      <c r="CM119">
        <v>106926.85150802632</v>
      </c>
      <c r="CN119">
        <v>110134.6570532671</v>
      </c>
      <c r="CO119">
        <v>113438.69676486512</v>
      </c>
      <c r="CP119">
        <v>116841.85766781107</v>
      </c>
      <c r="CQ119">
        <v>120347.1133978454</v>
      </c>
      <c r="CR119">
        <v>123957.52679978077</v>
      </c>
      <c r="CS119">
        <v>127676.25260377419</v>
      </c>
      <c r="CT119">
        <v>131506.54018188742</v>
      </c>
      <c r="CU119">
        <v>135451.73638734405</v>
      </c>
      <c r="CV119">
        <v>139515.28847896439</v>
      </c>
      <c r="CW119">
        <v>143700.74713333332</v>
      </c>
      <c r="CX119">
        <v>148011.76954733333</v>
      </c>
      <c r="CY119">
        <v>152452.12263375334</v>
      </c>
      <c r="CZ119">
        <v>157025.68631276596</v>
      </c>
      <c r="DA119">
        <v>161736.45690214893</v>
      </c>
      <c r="DB119">
        <v>166588.55060921339</v>
      </c>
      <c r="DC119">
        <v>171586.20712748979</v>
      </c>
      <c r="DD119">
        <v>176733.79334131448</v>
      </c>
      <c r="DE119">
        <v>182035.80714155393</v>
      </c>
      <c r="DF119">
        <v>187496.88135580055</v>
      </c>
    </row>
    <row r="120" spans="1:110" ht="17">
      <c r="A120" s="65">
        <f t="shared" si="1"/>
        <v>41149</v>
      </c>
      <c r="B120" s="45">
        <v>261880.41031891594</v>
      </c>
      <c r="C120" s="45">
        <v>1</v>
      </c>
      <c r="D120" s="66">
        <v>41317.10441718431</v>
      </c>
      <c r="E120" s="1"/>
      <c r="F120" s="31"/>
      <c r="I120" s="68"/>
      <c r="J120" s="67"/>
      <c r="K120" s="67"/>
      <c r="M120" s="71"/>
    </row>
    <row r="121" spans="1:110" ht="17">
      <c r="A121" s="65">
        <f t="shared" si="1"/>
        <v>41156</v>
      </c>
      <c r="B121" s="45">
        <v>267784.95593461156</v>
      </c>
      <c r="C121" s="45">
        <v>10.564251620476128</v>
      </c>
      <c r="D121" s="66">
        <v>44009.183246309934</v>
      </c>
      <c r="E121" s="1"/>
      <c r="F121" s="31"/>
      <c r="H121" s="67"/>
      <c r="I121" s="68"/>
      <c r="M121" s="71"/>
    </row>
    <row r="122" spans="1:110" ht="17">
      <c r="A122" s="65">
        <f t="shared" si="1"/>
        <v>41163</v>
      </c>
      <c r="B122" s="45">
        <v>273771.11299769214</v>
      </c>
      <c r="C122" s="45">
        <v>36.853143799799987</v>
      </c>
      <c r="D122" s="66">
        <v>46811.676771929095</v>
      </c>
      <c r="E122" s="1"/>
      <c r="F122" s="31"/>
      <c r="H122" s="67"/>
      <c r="I122" s="68"/>
      <c r="M122" s="71"/>
    </row>
    <row r="123" spans="1:110" ht="17">
      <c r="A123" s="65">
        <f t="shared" si="1"/>
        <v>41170</v>
      </c>
      <c r="B123" s="45">
        <v>279839.30948976782</v>
      </c>
      <c r="C123" s="45">
        <v>85.314520121408634</v>
      </c>
      <c r="D123" s="66">
        <v>49726.565365701375</v>
      </c>
      <c r="E123" s="1"/>
      <c r="F123" s="31"/>
      <c r="H123" s="67"/>
      <c r="I123" s="68"/>
      <c r="M123" s="71"/>
    </row>
    <row r="124" spans="1:110" ht="17">
      <c r="A124" s="65">
        <f t="shared" si="1"/>
        <v>41177</v>
      </c>
      <c r="B124" s="45">
        <v>285989.97202720714</v>
      </c>
      <c r="C124" s="45">
        <v>160.35958097159201</v>
      </c>
      <c r="D124" s="66">
        <v>52755.821183435386</v>
      </c>
      <c r="E124" s="1"/>
      <c r="F124" s="31"/>
      <c r="H124" s="67"/>
      <c r="I124" s="68"/>
      <c r="M124" s="71"/>
    </row>
    <row r="125" spans="1:110" ht="17">
      <c r="A125" s="65">
        <f t="shared" si="1"/>
        <v>41184</v>
      </c>
      <c r="B125" s="45">
        <v>292223.52587681345</v>
      </c>
      <c r="C125" s="45">
        <v>265.81944693488447</v>
      </c>
      <c r="D125" s="66">
        <v>55901.408372958831</v>
      </c>
      <c r="E125" s="1"/>
      <c r="F125" s="31"/>
      <c r="H125" s="67"/>
      <c r="I125" s="68"/>
      <c r="M125" s="71"/>
    </row>
    <row r="126" spans="1:110" ht="17">
      <c r="A126" s="65">
        <f t="shared" si="1"/>
        <v>41191</v>
      </c>
      <c r="B126" s="45">
        <v>298540.39497119654</v>
      </c>
      <c r="C126" s="45">
        <v>405.1355523994315</v>
      </c>
      <c r="D126" s="66">
        <v>59165.283272516928</v>
      </c>
      <c r="E126" s="1"/>
      <c r="F126" s="31"/>
      <c r="H126" s="67"/>
      <c r="I126" s="68"/>
      <c r="M126" s="71"/>
    </row>
    <row r="127" spans="1:110" ht="17">
      <c r="A127" s="65">
        <f t="shared" si="1"/>
        <v>41198</v>
      </c>
      <c r="B127" s="45">
        <v>304941.00192384643</v>
      </c>
      <c r="C127" s="45">
        <v>581.46302516471019</v>
      </c>
      <c r="D127" s="66">
        <v>62549.394600309141</v>
      </c>
      <c r="E127" s="1"/>
      <c r="F127" s="31"/>
      <c r="H127" s="67"/>
      <c r="I127" s="68"/>
      <c r="M127" s="71"/>
    </row>
    <row r="128" spans="1:110" ht="17">
      <c r="A128" s="65">
        <f t="shared" si="1"/>
        <v>41205</v>
      </c>
      <c r="B128" s="45">
        <v>311425.76804390759</v>
      </c>
      <c r="C128" s="45">
        <v>797.73465827107134</v>
      </c>
      <c r="D128" s="66">
        <v>66055.683635734764</v>
      </c>
      <c r="E128" s="1"/>
      <c r="F128" s="31"/>
      <c r="H128" s="67"/>
      <c r="I128" s="68"/>
      <c r="M128" s="71"/>
    </row>
    <row r="129" spans="1:13" ht="17">
      <c r="A129" s="65">
        <f t="shared" si="1"/>
        <v>41212</v>
      </c>
      <c r="B129" s="45">
        <v>317995.11335067975</v>
      </c>
      <c r="C129" s="45">
        <v>1056.7038858385386</v>
      </c>
      <c r="D129" s="66">
        <v>69686.084392860648</v>
      </c>
      <c r="E129" s="1"/>
      <c r="F129" s="31"/>
      <c r="H129" s="67"/>
      <c r="I129" s="67"/>
      <c r="M129" s="71"/>
    </row>
    <row r="130" spans="1:13" ht="17">
      <c r="A130" s="65">
        <f t="shared" si="1"/>
        <v>41219</v>
      </c>
      <c r="B130" s="45">
        <v>324649.45658783888</v>
      </c>
      <c r="C130" s="45">
        <v>1360.9753547618802</v>
      </c>
      <c r="D130" s="66">
        <v>73442.523786591846</v>
      </c>
      <c r="E130" s="45">
        <v>1</v>
      </c>
      <c r="F130" s="31"/>
      <c r="G130" s="1"/>
      <c r="H130" s="67"/>
      <c r="I130" s="67"/>
      <c r="M130" s="71"/>
    </row>
    <row r="131" spans="1:13" ht="17">
      <c r="A131" s="65">
        <f t="shared" si="1"/>
        <v>41226</v>
      </c>
      <c r="B131" s="45">
        <v>331389.21523738798</v>
      </c>
      <c r="C131" s="45">
        <v>1713.0276152089282</v>
      </c>
      <c r="D131" s="66">
        <v>77326.921791980218</v>
      </c>
      <c r="E131" s="1">
        <v>7.1313787767994476</v>
      </c>
      <c r="F131" s="31"/>
      <c r="H131" s="67"/>
      <c r="I131" s="73"/>
      <c r="M131" s="71"/>
    </row>
    <row r="132" spans="1:13" ht="17">
      <c r="A132" s="65">
        <f t="shared" si="1"/>
        <v>41233</v>
      </c>
      <c r="B132" s="45">
        <v>338214.80553335143</v>
      </c>
      <c r="C132" s="45">
        <v>2115.2305236302491</v>
      </c>
      <c r="D132" s="66">
        <v>81341.191597079393</v>
      </c>
      <c r="E132" s="45">
        <v>19.574766917034825</v>
      </c>
      <c r="F132" s="31"/>
      <c r="H132" s="67"/>
      <c r="I132" s="74"/>
      <c r="M132" s="71"/>
    </row>
    <row r="133" spans="1:13" ht="17">
      <c r="A133" s="65">
        <f t="shared" si="1"/>
        <v>41240</v>
      </c>
      <c r="B133" s="45">
        <v>345126.64247520769</v>
      </c>
      <c r="C133" s="45">
        <v>2569.8589447173617</v>
      </c>
      <c r="D133" s="66">
        <v>85487.239749717104</v>
      </c>
      <c r="E133" s="45">
        <v>38.413175117950217</v>
      </c>
      <c r="F133" s="31"/>
      <c r="H133" s="67"/>
      <c r="I133" s="67"/>
      <c r="M133" s="71"/>
    </row>
    <row r="134" spans="1:13" ht="17">
      <c r="A134" s="65">
        <f t="shared" ref="A134:A189" si="2">A133+7</f>
        <v>41247</v>
      </c>
      <c r="B134" s="45">
        <v>352125.13984108437</v>
      </c>
      <c r="C134" s="45">
        <v>3079.1037729837353</v>
      </c>
      <c r="D134" s="66">
        <v>89766.966298533676</v>
      </c>
      <c r="E134" s="45">
        <v>63.69894644539761</v>
      </c>
      <c r="F134" s="31"/>
      <c r="H134" s="67"/>
      <c r="I134" s="67"/>
      <c r="M134" s="71"/>
    </row>
    <row r="135" spans="1:13" ht="17">
      <c r="A135" s="65">
        <f t="shared" si="2"/>
        <v>41254</v>
      </c>
      <c r="B135" s="45">
        <v>359210.71020070341</v>
      </c>
      <c r="C135" s="45">
        <v>3645.0809580242349</v>
      </c>
      <c r="D135" s="66">
        <v>94182.264928605189</v>
      </c>
      <c r="E135" s="45">
        <v>95.470897824575133</v>
      </c>
      <c r="F135" s="31"/>
      <c r="H135" s="67"/>
      <c r="I135" s="67"/>
      <c r="M135" s="71"/>
    </row>
    <row r="136" spans="1:13" ht="17">
      <c r="A136" s="65">
        <f t="shared" si="2"/>
        <v>41261</v>
      </c>
      <c r="B136" s="45">
        <v>366383.76492809656</v>
      </c>
      <c r="C136" s="45">
        <v>4269.839007638031</v>
      </c>
      <c r="D136" s="66">
        <v>98735.023091949624</v>
      </c>
      <c r="E136" s="45">
        <v>133.76000232261993</v>
      </c>
      <c r="F136" s="31"/>
      <c r="H136" s="67"/>
      <c r="I136" s="67"/>
      <c r="M136" s="71"/>
    </row>
    <row r="137" spans="1:13" ht="17">
      <c r="A137" s="65">
        <f t="shared" si="2"/>
        <v>41268</v>
      </c>
      <c r="B137" s="45">
        <v>373644.71421408793</v>
      </c>
      <c r="C137" s="45">
        <v>4955.3653069831344</v>
      </c>
      <c r="D137" s="66">
        <v>103427.12213319416</v>
      </c>
      <c r="E137" s="45">
        <v>178.59207458096057</v>
      </c>
      <c r="F137" s="31"/>
      <c r="H137" s="67"/>
      <c r="I137" s="67"/>
      <c r="M137" s="71"/>
    </row>
    <row r="138" spans="1:13" ht="17">
      <c r="A138" s="65">
        <f t="shared" si="2"/>
        <v>41275</v>
      </c>
      <c r="B138" s="45">
        <v>380993.96707856021</v>
      </c>
      <c r="C138" s="45">
        <v>5703.5915008404227</v>
      </c>
      <c r="D138" s="66">
        <v>108260.43741065628</v>
      </c>
      <c r="E138" s="45">
        <v>229.98926722263366</v>
      </c>
      <c r="F138" s="31"/>
      <c r="H138" s="72"/>
      <c r="I138" s="75"/>
      <c r="M138" s="71"/>
    </row>
    <row r="139" spans="1:13" ht="17">
      <c r="A139" s="65">
        <f t="shared" si="2"/>
        <v>41282</v>
      </c>
      <c r="B139" s="45">
        <v>388431.9313824912</v>
      </c>
      <c r="C139" s="45">
        <v>6516.3981233312734</v>
      </c>
      <c r="D139" s="66">
        <v>113236.83841308384</v>
      </c>
      <c r="E139" s="45">
        <v>287.97099400795844</v>
      </c>
      <c r="F139" s="31"/>
      <c r="H139" s="67"/>
      <c r="I139" s="76"/>
      <c r="M139" s="71"/>
    </row>
    <row r="140" spans="1:13" ht="17">
      <c r="A140" s="65">
        <f t="shared" si="2"/>
        <v>41289</v>
      </c>
      <c r="B140" s="45">
        <v>395959.01383979392</v>
      </c>
      <c r="C140" s="45">
        <v>7395.6186151636066</v>
      </c>
      <c r="D140" s="66">
        <v>118358.18887227356</v>
      </c>
      <c r="E140" s="45">
        <v>352.55454081809944</v>
      </c>
      <c r="F140" s="31"/>
      <c r="H140" s="67"/>
      <c r="I140" s="67"/>
      <c r="M140" s="71"/>
    </row>
    <row r="141" spans="1:13" ht="17">
      <c r="A141" s="65">
        <f t="shared" si="2"/>
        <v>41296</v>
      </c>
      <c r="B141" s="45">
        <v>403575.62002893788</v>
      </c>
      <c r="C141" s="45">
        <v>8343.0428365696062</v>
      </c>
      <c r="D141" s="66">
        <v>123626.34687177639</v>
      </c>
      <c r="E141" s="45">
        <v>423.75549155463955</v>
      </c>
      <c r="F141" s="31"/>
      <c r="H141" s="67"/>
      <c r="I141" s="67"/>
      <c r="M141" s="71"/>
    </row>
    <row r="142" spans="1:13" ht="17">
      <c r="A142" s="65">
        <f t="shared" si="2"/>
        <v>41303</v>
      </c>
      <c r="B142" s="45">
        <v>411282.15440437087</v>
      </c>
      <c r="C142" s="45">
        <v>9360.4201606634451</v>
      </c>
      <c r="D142" s="66">
        <v>129043.16495188745</v>
      </c>
      <c r="E142" s="45">
        <v>501.58803713605266</v>
      </c>
      <c r="F142" s="31"/>
      <c r="H142" s="67"/>
      <c r="I142" s="67"/>
      <c r="M142" s="71"/>
    </row>
    <row r="143" spans="1:13" ht="17">
      <c r="A143" s="65">
        <f t="shared" si="2"/>
        <v>41310</v>
      </c>
      <c r="B143" s="45">
        <v>419079.02030775114</v>
      </c>
      <c r="C143" s="45">
        <v>10449.46221443676</v>
      </c>
      <c r="D143" s="66">
        <v>134610.49021109979</v>
      </c>
      <c r="E143" s="45">
        <v>586.06520693474158</v>
      </c>
      <c r="F143" s="31"/>
      <c r="H143" s="67"/>
      <c r="I143" s="67"/>
      <c r="M143" s="71"/>
    </row>
    <row r="144" spans="1:13" ht="17">
      <c r="A144" s="65">
        <f t="shared" si="2"/>
        <v>41317</v>
      </c>
      <c r="B144" s="45">
        <v>426966.61997897702</v>
      </c>
      <c r="C144" s="45">
        <v>11611.845321344081</v>
      </c>
      <c r="D144" s="66">
        <v>140330.16440419442</v>
      </c>
      <c r="E144" s="45">
        <v>677.19904668913841</v>
      </c>
      <c r="F144" s="31"/>
      <c r="H144" s="67"/>
      <c r="I144" s="67"/>
      <c r="M144" s="71"/>
    </row>
    <row r="145" spans="1:13" ht="17">
      <c r="A145" s="65">
        <f t="shared" si="2"/>
        <v>41324</v>
      </c>
      <c r="B145" s="45">
        <v>434945.35456703615</v>
      </c>
      <c r="C145" s="45">
        <v>12849.212689227774</v>
      </c>
      <c r="D145" s="66">
        <v>146204.0240371266</v>
      </c>
      <c r="E145" s="45">
        <v>775.00075826307511</v>
      </c>
      <c r="F145" s="31"/>
      <c r="H145" s="67"/>
      <c r="I145" s="67"/>
      <c r="M145" s="71"/>
    </row>
    <row r="146" spans="1:13" ht="17">
      <c r="A146" s="65">
        <f t="shared" si="2"/>
        <v>41331</v>
      </c>
      <c r="B146" s="45">
        <v>443015.62414067</v>
      </c>
      <c r="C146" s="45">
        <v>14163.176379397293</v>
      </c>
      <c r="D146" s="66">
        <v>152233.90045885672</v>
      </c>
      <c r="E146" s="45">
        <v>879.48081146391269</v>
      </c>
      <c r="F146" s="31"/>
      <c r="H146" s="67"/>
      <c r="I146" s="67"/>
      <c r="M146" s="71"/>
    </row>
    <row r="147" spans="1:13" ht="17">
      <c r="A147" s="65">
        <f t="shared" si="2"/>
        <v>41338</v>
      </c>
      <c r="B147" s="45">
        <v>451177.82769886311</v>
      </c>
      <c r="C147" s="45">
        <v>15555.31908644535</v>
      </c>
      <c r="D147" s="66">
        <v>158421.61995027057</v>
      </c>
      <c r="E147" s="45">
        <v>990.64903492184931</v>
      </c>
      <c r="F147" s="31"/>
      <c r="H147" s="67"/>
      <c r="I147" s="67"/>
      <c r="M147" s="71"/>
    </row>
    <row r="148" spans="1:13" ht="17">
      <c r="A148" s="65">
        <f t="shared" si="2"/>
        <v>41345</v>
      </c>
      <c r="B148" s="45">
        <v>459432.36318114703</v>
      </c>
      <c r="C148" s="45">
        <v>17027.195753410488</v>
      </c>
      <c r="D148" s="66">
        <v>164769.00381031728</v>
      </c>
      <c r="E148" s="45">
        <v>1108.5146909645246</v>
      </c>
      <c r="F148" s="31"/>
      <c r="H148" s="67"/>
      <c r="I148" s="67"/>
      <c r="M148" s="71"/>
    </row>
    <row r="149" spans="1:13" ht="17">
      <c r="A149" s="65">
        <f t="shared" si="2"/>
        <v>41352</v>
      </c>
      <c r="B149" s="45">
        <v>467779.62747775094</v>
      </c>
      <c r="C149" s="45">
        <v>18580.335042930819</v>
      </c>
      <c r="D149" s="66">
        <v>171277.86843949347</v>
      </c>
      <c r="E149" s="45">
        <v>1233.0865380456316</v>
      </c>
      <c r="F149" s="31"/>
      <c r="H149" s="67"/>
      <c r="I149" s="67"/>
      <c r="M149" s="71"/>
    </row>
    <row r="150" spans="1:13" ht="17">
      <c r="A150" s="65">
        <f t="shared" si="2"/>
        <v>41359</v>
      </c>
      <c r="B150" s="45">
        <v>476220.01643956912</v>
      </c>
      <c r="C150" s="45">
        <v>20216.24068181045</v>
      </c>
      <c r="D150" s="66">
        <v>177950.0254207883</v>
      </c>
      <c r="E150" s="45">
        <v>1364.3728833479654</v>
      </c>
      <c r="F150" s="31"/>
      <c r="H150" s="67"/>
      <c r="I150" s="67"/>
      <c r="M150" s="71"/>
    </row>
    <row r="151" spans="1:13" ht="17">
      <c r="A151" s="65">
        <f t="shared" si="2"/>
        <v>41366</v>
      </c>
      <c r="B151" s="45">
        <v>484753.92488798045</v>
      </c>
      <c r="C151" s="45">
        <v>21936.392693787988</v>
      </c>
      <c r="D151" s="66">
        <v>184787.2815982016</v>
      </c>
      <c r="E151" s="45">
        <v>1502.381627524619</v>
      </c>
      <c r="F151" s="31"/>
      <c r="H151" s="67"/>
      <c r="I151" s="67"/>
      <c r="M151" s="71"/>
    </row>
    <row r="152" spans="1:13" ht="17">
      <c r="A152" s="65">
        <f t="shared" si="2"/>
        <v>41373</v>
      </c>
      <c r="B152" s="45">
        <v>493381.74662449595</v>
      </c>
      <c r="C152" s="45">
        <v>23742.24853315801</v>
      </c>
      <c r="D152" s="66">
        <v>191791.43915294259</v>
      </c>
      <c r="E152" s="45">
        <v>1647.1203030740908</v>
      </c>
      <c r="F152" s="31"/>
      <c r="H152" s="67"/>
      <c r="I152" s="67"/>
      <c r="M152" s="71"/>
    </row>
    <row r="153" spans="1:13" ht="17">
      <c r="A153" s="65">
        <f t="shared" si="2"/>
        <v>41380</v>
      </c>
      <c r="B153" s="45">
        <v>502103.87444026209</v>
      </c>
      <c r="C153" s="45">
        <v>25635.244130092266</v>
      </c>
      <c r="D153" s="66">
        <v>198964.29567739877</v>
      </c>
      <c r="E153" s="45">
        <v>1798.5961075055111</v>
      </c>
      <c r="F153" s="31"/>
      <c r="H153" s="67"/>
      <c r="I153" s="67"/>
      <c r="M153" s="71"/>
    </row>
    <row r="154" spans="1:13" ht="17">
      <c r="A154" s="65">
        <f t="shared" si="2"/>
        <v>41387</v>
      </c>
      <c r="B154" s="45">
        <v>510920.70012540853</v>
      </c>
      <c r="C154" s="45">
        <v>27616.794857032888</v>
      </c>
      <c r="D154" s="66">
        <v>206307.64424698032</v>
      </c>
      <c r="E154" s="45">
        <v>1956.8159321973781</v>
      </c>
      <c r="F154" s="31"/>
      <c r="H154" s="67"/>
      <c r="I154" s="67"/>
      <c r="M154" s="71"/>
    </row>
    <row r="155" spans="1:13" ht="17">
      <c r="A155" s="65">
        <f t="shared" si="2"/>
        <v>41394</v>
      </c>
      <c r="B155" s="45">
        <v>519832.61447824445</v>
      </c>
      <c r="C155" s="45">
        <v>29688.296424298023</v>
      </c>
      <c r="D155" s="66">
        <v>213823.27348992016</v>
      </c>
      <c r="E155" s="45">
        <v>2121.7863876672309</v>
      </c>
      <c r="F155" s="31"/>
      <c r="H155" s="67"/>
      <c r="I155" s="67"/>
      <c r="M155" s="71"/>
    </row>
    <row r="156" spans="1:13" ht="17">
      <c r="A156" s="65">
        <f t="shared" si="2"/>
        <v>41401</v>
      </c>
      <c r="B156" s="45">
        <v>528840.00731431576</v>
      </c>
      <c r="C156" s="45">
        <v>31851.12571195286</v>
      </c>
      <c r="D156" s="66">
        <v>221512.96765511372</v>
      </c>
      <c r="E156" s="45">
        <v>2293.5138258238294</v>
      </c>
      <c r="F156" s="31"/>
      <c r="H156" s="67"/>
      <c r="I156" s="67"/>
      <c r="M156" s="71"/>
    </row>
    <row r="157" spans="1:13" ht="17">
      <c r="A157" s="65">
        <f t="shared" si="2"/>
        <v>41408</v>
      </c>
      <c r="B157" s="45">
        <v>537943.2674753184</v>
      </c>
      <c r="C157" s="45">
        <v>34106.64154417481</v>
      </c>
      <c r="D157" s="66">
        <v>229378.5066780812</v>
      </c>
      <c r="E157" s="45">
        <v>2472.0043596658834</v>
      </c>
      <c r="F157" s="31"/>
      <c r="H157" s="67"/>
      <c r="I157" s="67"/>
      <c r="M157" s="71"/>
    </row>
    <row r="158" spans="1:13" ht="17">
      <c r="A158" s="65">
        <f t="shared" si="2"/>
        <v>41415</v>
      </c>
      <c r="B158" s="45">
        <v>547142.78283786715</v>
      </c>
      <c r="C158" s="45">
        <v>36456.185411516402</v>
      </c>
      <c r="D158" s="66">
        <v>237421.666245122</v>
      </c>
      <c r="E158" s="45">
        <v>2657.2638808035808</v>
      </c>
      <c r="F158" s="31"/>
      <c r="H158" s="67"/>
      <c r="I158" s="67"/>
      <c r="M158" s="71"/>
    </row>
    <row r="159" spans="1:13" ht="17">
      <c r="A159" s="65">
        <f t="shared" si="2"/>
        <v>41422</v>
      </c>
      <c r="B159" s="45">
        <v>556438.94032214221</v>
      </c>
      <c r="C159" s="45">
        <v>38901.082145884924</v>
      </c>
      <c r="D159" s="66">
        <v>245644.21785574162</v>
      </c>
      <c r="E159" s="45">
        <v>2849.2980751133218</v>
      </c>
      <c r="F159" s="31"/>
      <c r="H159" s="67"/>
      <c r="I159" s="67"/>
      <c r="M159" s="71"/>
    </row>
    <row r="160" spans="1:13">
      <c r="A160" s="65">
        <f t="shared" si="2"/>
        <v>41429</v>
      </c>
      <c r="B160" s="45">
        <v>565832.12590039149</v>
      </c>
      <c r="C160" s="45">
        <v>41442.640552467667</v>
      </c>
      <c r="D160" s="66">
        <v>254047.92888340307</v>
      </c>
      <c r="E160" s="45">
        <v>3048.1124367831326</v>
      </c>
      <c r="F160" s="31"/>
      <c r="M160" s="71"/>
    </row>
    <row r="161" spans="1:13">
      <c r="A161" s="65">
        <f t="shared" si="2"/>
        <v>41436</v>
      </c>
      <c r="B161" s="45">
        <v>575322.72460530826</v>
      </c>
      <c r="C161" s="45">
        <v>44082.154002361407</v>
      </c>
      <c r="D161" s="66">
        <v>262634.56263468636</v>
      </c>
      <c r="E161" s="45">
        <v>3253.7122809606626</v>
      </c>
      <c r="F161" s="31"/>
      <c r="M161" s="71"/>
    </row>
    <row r="162" spans="1:13">
      <c r="A162" s="65">
        <f t="shared" si="2"/>
        <v>41443</v>
      </c>
      <c r="B162" s="45">
        <v>584911.12053828104</v>
      </c>
      <c r="C162" s="45">
        <v>46820.900989266927</v>
      </c>
      <c r="D162" s="66">
        <v>271405.87840689387</v>
      </c>
      <c r="E162" s="45">
        <v>3466.102755185304</v>
      </c>
      <c r="F162" s="31"/>
      <c r="M162" s="71"/>
    </row>
    <row r="163" spans="1:13">
      <c r="A163" s="65">
        <f t="shared" si="2"/>
        <v>41450</v>
      </c>
      <c r="B163" s="45">
        <v>594597.69687751634</v>
      </c>
      <c r="C163" s="45">
        <v>49660.145653233863</v>
      </c>
      <c r="D163" s="66">
        <v>280363.63154418796</v>
      </c>
      <c r="E163" s="45">
        <v>3685.2888497547683</v>
      </c>
      <c r="F163" s="31"/>
      <c r="M163" s="71"/>
    </row>
    <row r="164" spans="1:13">
      <c r="A164" s="65">
        <f t="shared" si="2"/>
        <v>41457</v>
      </c>
      <c r="B164" s="45">
        <v>604382.83588605211</v>
      </c>
      <c r="C164" s="45">
        <v>52601.138274115743</v>
      </c>
      <c r="D164" s="66">
        <v>289509.57349228248</v>
      </c>
      <c r="E164" s="45">
        <v>3911.2754071552772</v>
      </c>
      <c r="F164" s="31"/>
      <c r="M164" s="71"/>
    </row>
    <row r="165" spans="1:13">
      <c r="A165" s="65">
        <f t="shared" si="2"/>
        <v>41464</v>
      </c>
      <c r="B165" s="45">
        <v>614266.91891962965</v>
      </c>
      <c r="C165" s="45">
        <v>55645.115737174987</v>
      </c>
      <c r="D165" s="66">
        <v>298845.45185177075</v>
      </c>
      <c r="E165" s="45">
        <v>4144.0671306651057</v>
      </c>
      <c r="F165" s="31"/>
      <c r="M165" s="71"/>
    </row>
    <row r="166" spans="1:13">
      <c r="A166" s="65">
        <f t="shared" si="2"/>
        <v>41471</v>
      </c>
      <c r="B166" s="45">
        <v>624250.32643447758</v>
      </c>
      <c r="C166" s="45">
        <v>58793.301972959074</v>
      </c>
      <c r="D166" s="66">
        <v>308373.01043012331</v>
      </c>
      <c r="E166" s="45">
        <v>4383.6685922245088</v>
      </c>
      <c r="F166" s="31"/>
      <c r="M166" s="71"/>
    </row>
    <row r="167" spans="1:13">
      <c r="A167" s="65">
        <f t="shared" si="2"/>
        <v>41478</v>
      </c>
      <c r="B167" s="45">
        <v>634333.43799495336</v>
      </c>
      <c r="C167" s="45">
        <v>62046.908373445389</v>
      </c>
      <c r="D167" s="66">
        <v>318093.98929240485</v>
      </c>
      <c r="E167" s="45">
        <v>4630.0842396548323</v>
      </c>
      <c r="F167" s="31"/>
      <c r="M167" s="71"/>
    </row>
    <row r="168" spans="1:13">
      <c r="A168" s="65">
        <f t="shared" si="2"/>
        <v>41485</v>
      </c>
      <c r="B168" s="45">
        <v>644516.63228109188</v>
      </c>
      <c r="C168" s="45">
        <v>65407.134186153649</v>
      </c>
      <c r="D168" s="66">
        <v>328010.12481075822</v>
      </c>
      <c r="E168" s="45">
        <v>4883.3184032965364</v>
      </c>
      <c r="F168" s="31"/>
      <c r="M168" s="71"/>
    </row>
    <row r="169" spans="1:13">
      <c r="A169" s="65">
        <f t="shared" si="2"/>
        <v>41492</v>
      </c>
      <c r="B169" s="45">
        <v>654800.28709604556</v>
      </c>
      <c r="C169" s="45">
        <v>68685.260852282285</v>
      </c>
      <c r="D169" s="66">
        <v>338123.14971269842</v>
      </c>
      <c r="E169" s="45">
        <v>5143.3753021248122</v>
      </c>
      <c r="G169" s="28"/>
      <c r="M169" s="71"/>
    </row>
    <row r="170" spans="1:13">
      <c r="A170" s="65">
        <f t="shared" si="2"/>
        <v>41499</v>
      </c>
      <c r="B170" s="45">
        <v>665184.77937339887</v>
      </c>
      <c r="C170" s="45">
        <v>70698.7</v>
      </c>
      <c r="D170" s="66">
        <v>348434.7931282589</v>
      </c>
      <c r="E170" s="45">
        <v>5410.2590494001488</v>
      </c>
      <c r="F170" s="31"/>
      <c r="M170" s="71"/>
    </row>
    <row r="171" spans="1:13">
      <c r="A171" s="65">
        <f t="shared" si="2"/>
        <v>41506</v>
      </c>
      <c r="B171" s="45">
        <v>675670.48518440011</v>
      </c>
      <c r="C171" s="45">
        <v>73986.957999999999</v>
      </c>
      <c r="D171" s="66">
        <v>358946.78063602746</v>
      </c>
      <c r="E171" s="45">
        <v>5683.9736578961747</v>
      </c>
      <c r="F171" s="31"/>
      <c r="M171" s="71"/>
    </row>
    <row r="172" spans="1:13">
      <c r="A172" s="65">
        <f t="shared" si="2"/>
        <v>41513</v>
      </c>
      <c r="B172" s="45">
        <v>686257.77974507655</v>
      </c>
      <c r="C172" s="45">
        <v>77350.311999999991</v>
      </c>
      <c r="D172" s="66">
        <v>369660.83430810511</v>
      </c>
      <c r="E172" s="45">
        <v>5964.5230447483482</v>
      </c>
      <c r="F172" s="31"/>
      <c r="J172" s="69"/>
      <c r="M172" s="71"/>
    </row>
    <row r="173" spans="1:13">
      <c r="A173" s="65">
        <f t="shared" si="2"/>
        <v>41520</v>
      </c>
      <c r="B173" s="45">
        <v>696947.03742325446</v>
      </c>
      <c r="C173" s="45">
        <v>80788.762000000002</v>
      </c>
      <c r="D173" s="66">
        <v>380578.67275403754</v>
      </c>
      <c r="E173" s="45">
        <v>6251.9110359586048</v>
      </c>
      <c r="F173" s="31"/>
      <c r="M173" s="71"/>
    </row>
    <row r="174" spans="1:13">
      <c r="A174" s="65">
        <f t="shared" si="2"/>
        <v>41527</v>
      </c>
      <c r="B174" s="45">
        <v>707738.63174547278</v>
      </c>
      <c r="C174" s="45">
        <v>84302.308000000005</v>
      </c>
      <c r="D174" s="66">
        <v>391702.0111637371</v>
      </c>
      <c r="E174" s="45">
        <v>6546.141370587924</v>
      </c>
      <c r="F174" s="31"/>
      <c r="M174" s="71"/>
    </row>
    <row r="175" spans="1:13">
      <c r="A175" s="65">
        <f t="shared" si="2"/>
        <v>41534</v>
      </c>
      <c r="B175" s="45">
        <v>718632.93540381256</v>
      </c>
      <c r="C175" s="45">
        <v>87890.950000000012</v>
      </c>
      <c r="D175" s="66">
        <v>403032.56134943949</v>
      </c>
      <c r="E175" s="45">
        <v>6847.2177046643774</v>
      </c>
      <c r="F175" s="31"/>
      <c r="J175" s="52"/>
      <c r="M175" s="71"/>
    </row>
    <row r="176" spans="1:13">
      <c r="A176" s="65">
        <f t="shared" si="2"/>
        <v>41541</v>
      </c>
      <c r="B176" s="45">
        <v>729630.32026262849</v>
      </c>
      <c r="C176" s="45">
        <v>91554.688000000009</v>
      </c>
      <c r="D176" s="66">
        <v>414572.03178672626</v>
      </c>
      <c r="E176" s="45">
        <v>7155.1436148333887</v>
      </c>
      <c r="F176" s="31"/>
      <c r="M176" s="71"/>
    </row>
    <row r="177" spans="1:13">
      <c r="A177" s="65">
        <f t="shared" si="2"/>
        <v>41548</v>
      </c>
      <c r="B177" s="45">
        <v>740731.15736516775</v>
      </c>
      <c r="C177" s="45">
        <v>95293.522000000012</v>
      </c>
      <c r="D177" s="66">
        <v>426322.12765463034</v>
      </c>
      <c r="E177" s="45">
        <v>7469.9226017710316</v>
      </c>
      <c r="F177" s="31"/>
      <c r="J177" s="77"/>
      <c r="M177" s="71"/>
    </row>
    <row r="178" spans="1:13">
      <c r="A178" s="65">
        <f t="shared" si="2"/>
        <v>41555</v>
      </c>
      <c r="B178" s="45">
        <v>751935.81694013381</v>
      </c>
      <c r="C178" s="45">
        <v>99107.452000000005</v>
      </c>
      <c r="D178" s="66">
        <v>438284.5508748744</v>
      </c>
      <c r="E178" s="45">
        <v>7791.5580933804886</v>
      </c>
      <c r="F178" s="31"/>
      <c r="M178" s="71"/>
    </row>
    <row r="179" spans="1:13">
      <c r="A179" s="65">
        <f t="shared" si="2"/>
        <v>41562</v>
      </c>
      <c r="B179" s="45">
        <v>763244.6684081204</v>
      </c>
      <c r="C179" s="45">
        <v>102996.478</v>
      </c>
      <c r="D179" s="66">
        <v>450461.00015025615</v>
      </c>
      <c r="E179" s="45">
        <v>8120.0534477923211</v>
      </c>
      <c r="F179" s="31"/>
      <c r="M179" s="71"/>
    </row>
    <row r="180" spans="1:13">
      <c r="A180" s="65">
        <f t="shared" si="2"/>
        <v>41569</v>
      </c>
      <c r="B180" s="78">
        <v>783685</v>
      </c>
      <c r="C180" s="45">
        <v>106960.60000000002</v>
      </c>
      <c r="D180" s="66">
        <v>462853.17100219725</v>
      </c>
      <c r="E180" s="45">
        <v>8455.411956177908</v>
      </c>
      <c r="F180" s="31"/>
      <c r="M180" s="71"/>
    </row>
    <row r="181" spans="1:13">
      <c r="A181" s="65">
        <f t="shared" si="2"/>
        <v>41576</v>
      </c>
      <c r="B181" s="78">
        <v>806436</v>
      </c>
      <c r="C181" s="45">
        <v>110999.81800000001</v>
      </c>
      <c r="D181" s="66">
        <v>475462.75580751803</v>
      </c>
      <c r="E181" s="45">
        <v>8797.6368454013718</v>
      </c>
      <c r="F181" s="31"/>
      <c r="M181" s="71"/>
    </row>
    <row r="182" spans="1:13">
      <c r="A182" s="65">
        <f t="shared" si="2"/>
        <v>41583</v>
      </c>
      <c r="B182" s="78">
        <v>820757</v>
      </c>
      <c r="C182" s="45">
        <v>115114.13200000001</v>
      </c>
      <c r="D182" s="66">
        <v>488291.44383441517</v>
      </c>
      <c r="E182" s="45">
        <v>9146.7312805104302</v>
      </c>
      <c r="F182" s="31"/>
      <c r="M182" s="71"/>
    </row>
    <row r="183" spans="1:13">
      <c r="A183" s="65">
        <f t="shared" si="2"/>
        <v>41590</v>
      </c>
      <c r="B183" s="78">
        <v>863838</v>
      </c>
      <c r="C183" s="45">
        <v>119303.54200000002</v>
      </c>
      <c r="D183" s="66">
        <v>501340.92127770162</v>
      </c>
      <c r="E183" s="45">
        <v>9502.698367089557</v>
      </c>
      <c r="F183" s="31"/>
      <c r="I183" s="61"/>
      <c r="M183" s="71"/>
    </row>
    <row r="184" spans="1:13">
      <c r="A184" s="65">
        <f t="shared" si="2"/>
        <v>41597</v>
      </c>
      <c r="B184" s="45">
        <v>881114.76</v>
      </c>
      <c r="C184" s="45">
        <v>123568.04800000001</v>
      </c>
      <c r="D184" s="66">
        <v>514612.8712933163</v>
      </c>
      <c r="E184" s="45">
        <v>9865.5411534778832</v>
      </c>
      <c r="F184" s="31"/>
      <c r="H184" s="244"/>
      <c r="I184" s="244"/>
      <c r="M184" s="71"/>
    </row>
    <row r="185" spans="1:13">
      <c r="A185" s="65">
        <f t="shared" si="2"/>
        <v>41604</v>
      </c>
      <c r="B185" s="45">
        <v>907548.20280000009</v>
      </c>
      <c r="C185" s="45">
        <v>127907.65000000001</v>
      </c>
      <c r="D185" s="66">
        <v>528108.97403212101</v>
      </c>
      <c r="E185" s="45">
        <v>10235.262632865371</v>
      </c>
      <c r="F185" s="31"/>
      <c r="I185" s="79"/>
      <c r="M185" s="71"/>
    </row>
    <row r="186" spans="1:13">
      <c r="A186" s="65">
        <f t="shared" si="2"/>
        <v>41611</v>
      </c>
      <c r="B186" s="45">
        <v>934774.64888400014</v>
      </c>
      <c r="C186" s="45">
        <v>132322.34800000003</v>
      </c>
      <c r="D186" s="66">
        <v>541830.90667303023</v>
      </c>
      <c r="E186" s="45">
        <v>10611.865745275602</v>
      </c>
      <c r="F186" s="31"/>
      <c r="I186" s="61"/>
      <c r="M186" s="71"/>
    </row>
    <row r="187" spans="1:13">
      <c r="A187" s="65">
        <f t="shared" si="2"/>
        <v>41618</v>
      </c>
      <c r="B187" s="45">
        <v>962817.88835052017</v>
      </c>
      <c r="C187" s="45">
        <v>136812.14200000002</v>
      </c>
      <c r="D187" s="66">
        <v>555780.34345544816</v>
      </c>
      <c r="E187" s="45">
        <v>10995.353379445645</v>
      </c>
      <c r="F187" s="31"/>
      <c r="I187" s="53"/>
      <c r="M187" s="71"/>
    </row>
    <row r="188" spans="1:13">
      <c r="A188" s="65">
        <f t="shared" si="2"/>
        <v>41625</v>
      </c>
      <c r="B188" s="45">
        <v>991702.42500103579</v>
      </c>
      <c r="C188" s="45">
        <v>141377.03200000004</v>
      </c>
      <c r="D188" s="66">
        <v>569958.95571108931</v>
      </c>
      <c r="E188" s="45">
        <v>11385.72837460204</v>
      </c>
      <c r="F188" s="31"/>
      <c r="I188" s="53"/>
      <c r="M188" s="71"/>
    </row>
    <row r="189" spans="1:13">
      <c r="A189" s="65">
        <f t="shared" si="2"/>
        <v>41632</v>
      </c>
      <c r="B189" s="45">
        <v>1021453.4977510669</v>
      </c>
      <c r="C189" s="45">
        <v>146017.01800000004</v>
      </c>
      <c r="D189" s="66">
        <v>584368.41189514683</v>
      </c>
      <c r="E189" s="45">
        <v>11782.993522149889</v>
      </c>
      <c r="F189" s="31"/>
      <c r="M189" s="71"/>
    </row>
    <row r="190" spans="1:13">
      <c r="A190" s="65">
        <f>A189+7</f>
        <v>41639</v>
      </c>
      <c r="B190" s="45">
        <v>1052097.1026835989</v>
      </c>
      <c r="C190" s="45">
        <v>150732.10000000003</v>
      </c>
      <c r="D190" s="66">
        <v>599010.37761686591</v>
      </c>
      <c r="E190" s="45">
        <v>12184.418681435549</v>
      </c>
      <c r="G190" s="52"/>
      <c r="M190" s="71"/>
    </row>
    <row r="191" spans="1:13">
      <c r="G191" s="53"/>
      <c r="H191" s="53"/>
      <c r="I191" s="52"/>
      <c r="J191" s="53"/>
    </row>
    <row r="193" spans="2:7">
      <c r="B193" s="52"/>
    </row>
    <row r="194" spans="2:7">
      <c r="G194" s="71"/>
    </row>
    <row r="195" spans="2:7">
      <c r="G195" s="31"/>
    </row>
    <row r="196" spans="2:7">
      <c r="F196" s="31"/>
    </row>
  </sheetData>
  <mergeCells count="2">
    <mergeCell ref="B1:E1"/>
    <mergeCell ref="H184:I184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AP86"/>
  <sheetViews>
    <sheetView zoomScale="75" zoomScaleNormal="75" zoomScalePageLayoutView="75" workbookViewId="0">
      <selection activeCell="N20" sqref="N20"/>
    </sheetView>
  </sheetViews>
  <sheetFormatPr baseColWidth="10" defaultRowHeight="15" x14ac:dyDescent="0"/>
  <cols>
    <col min="1" max="2" width="10.83203125" style="1"/>
    <col min="3" max="3" width="29.5" style="1" bestFit="1" customWidth="1"/>
    <col min="4" max="4" width="10.83203125" style="1" customWidth="1"/>
    <col min="5" max="9" width="10.83203125" style="1"/>
    <col min="10" max="10" width="13" style="1" customWidth="1"/>
    <col min="11" max="16384" width="10.83203125" style="1"/>
  </cols>
  <sheetData>
    <row r="6" spans="3:12">
      <c r="C6" s="38" t="s">
        <v>248</v>
      </c>
    </row>
    <row r="8" spans="3:12">
      <c r="D8" s="1">
        <v>2008</v>
      </c>
      <c r="E8" s="1">
        <f t="shared" ref="E8:L8" si="0">D8+1</f>
        <v>2009</v>
      </c>
      <c r="F8" s="1">
        <f t="shared" si="0"/>
        <v>2010</v>
      </c>
      <c r="G8" s="1">
        <f t="shared" si="0"/>
        <v>2011</v>
      </c>
      <c r="H8" s="1">
        <f t="shared" si="0"/>
        <v>2012</v>
      </c>
      <c r="I8" s="1">
        <f t="shared" si="0"/>
        <v>2013</v>
      </c>
      <c r="J8" s="1">
        <f t="shared" si="0"/>
        <v>2014</v>
      </c>
      <c r="K8" s="1">
        <f t="shared" si="0"/>
        <v>2015</v>
      </c>
      <c r="L8" s="1">
        <f t="shared" si="0"/>
        <v>2016</v>
      </c>
    </row>
    <row r="9" spans="3:12">
      <c r="D9" s="44">
        <v>206.01</v>
      </c>
      <c r="E9" s="44">
        <v>830.6</v>
      </c>
      <c r="F9" s="44">
        <f>AVERAGE(F11:F12)</f>
        <v>2177.5</v>
      </c>
      <c r="G9" s="44">
        <f>SUM(G31:G32)/0.9</f>
        <v>3462.3809523809523</v>
      </c>
      <c r="H9" s="140" t="s">
        <v>249</v>
      </c>
      <c r="I9" s="140" t="s">
        <v>249</v>
      </c>
      <c r="J9" s="140" t="s">
        <v>249</v>
      </c>
      <c r="K9" s="140" t="s">
        <v>249</v>
      </c>
      <c r="L9" s="140" t="s">
        <v>249</v>
      </c>
    </row>
    <row r="10" spans="3:12">
      <c r="G10" s="100"/>
    </row>
    <row r="11" spans="3:12">
      <c r="C11" s="1" t="s">
        <v>250</v>
      </c>
      <c r="E11" s="1">
        <v>830.6</v>
      </c>
      <c r="F11" s="1">
        <v>2155</v>
      </c>
    </row>
    <row r="12" spans="3:12">
      <c r="C12" s="1" t="s">
        <v>251</v>
      </c>
      <c r="F12" s="1">
        <f>1900+300</f>
        <v>2200</v>
      </c>
      <c r="G12" s="1">
        <f>4500+1100</f>
        <v>5600</v>
      </c>
      <c r="H12" s="1">
        <f>9400+2300</f>
        <v>11700</v>
      </c>
      <c r="I12" s="1">
        <f>14800+3800</f>
        <v>18600</v>
      </c>
      <c r="J12" s="1">
        <f>22500+5700</f>
        <v>28200</v>
      </c>
      <c r="K12" s="1">
        <f>29400+8100</f>
        <v>37500</v>
      </c>
    </row>
    <row r="13" spans="3:12">
      <c r="C13" s="1" t="s">
        <v>252</v>
      </c>
      <c r="E13" s="1">
        <v>4237.8</v>
      </c>
      <c r="F13" s="1">
        <v>5200</v>
      </c>
      <c r="G13" s="1">
        <v>15100</v>
      </c>
    </row>
    <row r="14" spans="3:12">
      <c r="C14" s="1" t="s">
        <v>253</v>
      </c>
      <c r="G14" s="1">
        <v>8500</v>
      </c>
      <c r="L14" s="1">
        <v>46000</v>
      </c>
    </row>
    <row r="15" spans="3:12">
      <c r="C15" s="1" t="s">
        <v>254</v>
      </c>
      <c r="G15" s="1">
        <v>7300</v>
      </c>
      <c r="H15" s="1">
        <v>14100</v>
      </c>
      <c r="K15" s="1">
        <v>3700</v>
      </c>
    </row>
    <row r="24" spans="3:42" ht="30">
      <c r="C24" s="1" t="s">
        <v>255</v>
      </c>
      <c r="D24" s="141" t="s">
        <v>256</v>
      </c>
      <c r="E24" s="141" t="s">
        <v>257</v>
      </c>
    </row>
    <row r="25" spans="3:42">
      <c r="C25" s="1" t="s">
        <v>258</v>
      </c>
      <c r="D25" s="44">
        <v>341.76533499999999</v>
      </c>
      <c r="E25" s="44">
        <v>239.23573400000001</v>
      </c>
    </row>
    <row r="26" spans="3:42">
      <c r="C26" s="1" t="s">
        <v>259</v>
      </c>
      <c r="D26" s="44">
        <v>4939.6111270000001</v>
      </c>
      <c r="E26" s="44">
        <v>3457.727789</v>
      </c>
    </row>
    <row r="27" spans="3:42">
      <c r="AP27" s="142"/>
    </row>
    <row r="29" spans="3:42">
      <c r="E29" s="95">
        <f t="shared" ref="E29:H29" si="1">E31/D31-1</f>
        <v>2.7328285034707056</v>
      </c>
      <c r="F29" s="95">
        <f t="shared" si="1"/>
        <v>1.3172951885565669</v>
      </c>
      <c r="G29" s="95">
        <f t="shared" si="1"/>
        <v>0.60333493666827009</v>
      </c>
      <c r="H29" s="95">
        <f t="shared" si="1"/>
        <v>0.49999999999999978</v>
      </c>
      <c r="I29" s="95">
        <f>I31/H31-1</f>
        <v>1.3625000000000003</v>
      </c>
    </row>
    <row r="30" spans="3:42">
      <c r="C30" s="1" t="s">
        <v>260</v>
      </c>
      <c r="D30" s="1">
        <v>2008</v>
      </c>
      <c r="E30" s="1">
        <v>2009</v>
      </c>
      <c r="F30" s="1">
        <v>2010</v>
      </c>
      <c r="G30" s="1">
        <v>2011</v>
      </c>
      <c r="H30" s="1">
        <v>2012</v>
      </c>
      <c r="I30" s="1">
        <v>2013</v>
      </c>
    </row>
    <row r="31" spans="3:42">
      <c r="C31" s="1" t="s">
        <v>261</v>
      </c>
      <c r="D31" s="44">
        <v>206.01</v>
      </c>
      <c r="E31" s="44">
        <v>769</v>
      </c>
      <c r="F31" s="44">
        <v>1782</v>
      </c>
      <c r="G31" s="44">
        <f>H45-F45</f>
        <v>2857.1428571428573</v>
      </c>
      <c r="H31" s="44">
        <f>J45-H45</f>
        <v>4285.7142857142853</v>
      </c>
      <c r="I31" s="44">
        <v>10125</v>
      </c>
    </row>
    <row r="32" spans="3:42">
      <c r="C32" s="1" t="s">
        <v>262</v>
      </c>
      <c r="D32" s="44"/>
      <c r="E32" s="44">
        <v>11</v>
      </c>
      <c r="F32" s="44">
        <v>102</v>
      </c>
      <c r="G32" s="44">
        <f>229+30</f>
        <v>259</v>
      </c>
      <c r="H32" s="44">
        <f>H31/4</f>
        <v>1071.4285714285713</v>
      </c>
    </row>
    <row r="33" spans="3:13">
      <c r="C33" s="1" t="s">
        <v>39</v>
      </c>
      <c r="D33" s="1">
        <v>0</v>
      </c>
      <c r="E33" s="44">
        <v>50.600000000000023</v>
      </c>
      <c r="F33" s="44">
        <v>293.5</v>
      </c>
      <c r="G33" s="44">
        <v>346.23809523809496</v>
      </c>
      <c r="H33" s="44">
        <f>SUM(H31:H32)*0.1</f>
        <v>535.71428571428567</v>
      </c>
    </row>
    <row r="34" spans="3:13">
      <c r="D34" s="44">
        <f>SUM(D31:D33)</f>
        <v>206.01</v>
      </c>
      <c r="E34" s="44">
        <f t="shared" ref="E34:H34" si="2">SUM(E31:E33)</f>
        <v>830.6</v>
      </c>
      <c r="F34" s="44">
        <f t="shared" si="2"/>
        <v>2177.5</v>
      </c>
      <c r="G34" s="44">
        <f t="shared" si="2"/>
        <v>3462.3809523809523</v>
      </c>
      <c r="H34" s="44">
        <f t="shared" si="2"/>
        <v>5892.8571428571422</v>
      </c>
    </row>
    <row r="35" spans="3:13">
      <c r="D35" s="95">
        <f>D33/D34</f>
        <v>0</v>
      </c>
      <c r="E35" s="95">
        <f t="shared" ref="E35:H35" si="3">E33/E34</f>
        <v>6.0919816999759235E-2</v>
      </c>
      <c r="F35" s="95">
        <f t="shared" si="3"/>
        <v>0.13478760045924226</v>
      </c>
      <c r="G35" s="95">
        <f t="shared" si="3"/>
        <v>9.9999999999999922E-2</v>
      </c>
      <c r="H35" s="95">
        <f t="shared" si="3"/>
        <v>9.0909090909090912E-2</v>
      </c>
    </row>
    <row r="36" spans="3:13">
      <c r="D36" s="44"/>
      <c r="E36" s="44"/>
      <c r="F36" s="95">
        <f>F33/E33-1</f>
        <v>4.8003952569169934</v>
      </c>
      <c r="G36" s="95">
        <f>G33/F33-1</f>
        <v>0.17968686622860286</v>
      </c>
      <c r="H36" s="95">
        <v>0.2</v>
      </c>
    </row>
    <row r="37" spans="3:13">
      <c r="H37" s="1" t="s">
        <v>263</v>
      </c>
      <c r="I37" s="1" t="s">
        <v>264</v>
      </c>
      <c r="J37" s="1" t="s">
        <v>265</v>
      </c>
      <c r="K37" s="1" t="s">
        <v>265</v>
      </c>
      <c r="L37" s="1" t="s">
        <v>266</v>
      </c>
      <c r="M37" s="1" t="s">
        <v>267</v>
      </c>
    </row>
    <row r="38" spans="3:13">
      <c r="H38" s="19">
        <v>40336</v>
      </c>
      <c r="I38" s="19">
        <v>40560</v>
      </c>
      <c r="J38" s="19">
        <v>40731</v>
      </c>
      <c r="K38" s="19">
        <v>40932</v>
      </c>
      <c r="L38" s="19">
        <v>41071</v>
      </c>
      <c r="M38" s="143">
        <v>41281</v>
      </c>
    </row>
    <row r="39" spans="3:13" s="44" customFormat="1">
      <c r="H39" s="44">
        <v>1000</v>
      </c>
      <c r="I39" s="44">
        <v>2000</v>
      </c>
      <c r="J39" s="44">
        <v>2500</v>
      </c>
      <c r="K39" s="44">
        <v>4000</v>
      </c>
      <c r="L39" s="44">
        <v>5000</v>
      </c>
      <c r="M39" s="44">
        <v>7000</v>
      </c>
    </row>
    <row r="40" spans="3:13">
      <c r="K40" s="101"/>
    </row>
    <row r="41" spans="3:13">
      <c r="H41" s="100">
        <f>H31/0.75</f>
        <v>5714.2857142857138</v>
      </c>
    </row>
    <row r="43" spans="3:13">
      <c r="C43" s="1" t="s">
        <v>268</v>
      </c>
      <c r="E43" s="144" t="s">
        <v>269</v>
      </c>
      <c r="F43" s="144" t="s">
        <v>270</v>
      </c>
      <c r="G43" s="145" t="s">
        <v>271</v>
      </c>
      <c r="H43" s="144" t="s">
        <v>272</v>
      </c>
      <c r="I43" s="144" t="s">
        <v>273</v>
      </c>
      <c r="J43" s="145" t="s">
        <v>274</v>
      </c>
      <c r="K43" s="144" t="s">
        <v>275</v>
      </c>
    </row>
    <row r="44" spans="3:13">
      <c r="C44" s="1" t="s">
        <v>276</v>
      </c>
      <c r="D44" s="44"/>
      <c r="E44" s="1">
        <v>1000</v>
      </c>
      <c r="F44" s="44">
        <v>2000</v>
      </c>
      <c r="G44" s="1">
        <v>2500</v>
      </c>
      <c r="H44" s="1">
        <v>4000</v>
      </c>
      <c r="I44" s="44">
        <f>5000</f>
        <v>5000</v>
      </c>
      <c r="J44" s="44">
        <v>7000</v>
      </c>
      <c r="K44" s="44">
        <v>10000</v>
      </c>
    </row>
    <row r="45" spans="3:13">
      <c r="C45" s="1" t="s">
        <v>277</v>
      </c>
      <c r="D45" s="44"/>
      <c r="E45" s="44">
        <f t="shared" ref="E45:K45" si="4">E44/0.7</f>
        <v>1428.5714285714287</v>
      </c>
      <c r="F45" s="44">
        <f t="shared" si="4"/>
        <v>2857.1428571428573</v>
      </c>
      <c r="G45" s="44">
        <f t="shared" si="4"/>
        <v>3571.4285714285716</v>
      </c>
      <c r="H45" s="44">
        <f t="shared" si="4"/>
        <v>5714.2857142857147</v>
      </c>
      <c r="I45" s="44">
        <f t="shared" si="4"/>
        <v>7142.8571428571431</v>
      </c>
      <c r="J45" s="44">
        <f t="shared" si="4"/>
        <v>10000</v>
      </c>
      <c r="K45" s="44">
        <f t="shared" si="4"/>
        <v>14285.714285714286</v>
      </c>
    </row>
    <row r="46" spans="3:13">
      <c r="H46" s="144" t="s">
        <v>278</v>
      </c>
      <c r="I46" s="144" t="s">
        <v>279</v>
      </c>
      <c r="K46" s="44"/>
    </row>
    <row r="47" spans="3:13">
      <c r="H47" s="44">
        <v>3458</v>
      </c>
      <c r="I47" s="1">
        <v>3000</v>
      </c>
    </row>
    <row r="48" spans="3:13">
      <c r="H48" s="44">
        <f>H47/0.7</f>
        <v>4940</v>
      </c>
      <c r="I48" s="44">
        <f>I47/0.7</f>
        <v>4285.7142857142862</v>
      </c>
    </row>
    <row r="49" spans="3:15">
      <c r="O49" s="95">
        <f>O52/J52-1</f>
        <v>1.1428571428571432</v>
      </c>
    </row>
    <row r="50" spans="3:15">
      <c r="E50" s="19">
        <v>40336</v>
      </c>
      <c r="F50" s="19">
        <v>40550</v>
      </c>
      <c r="G50" s="19">
        <v>40700</v>
      </c>
      <c r="H50" s="19">
        <v>40932</v>
      </c>
      <c r="I50" s="19">
        <v>41071</v>
      </c>
      <c r="J50" s="19">
        <v>41281</v>
      </c>
      <c r="K50" s="19">
        <v>41318</v>
      </c>
      <c r="L50" s="19">
        <v>41387</v>
      </c>
      <c r="M50" s="19">
        <v>41435</v>
      </c>
      <c r="N50" s="19">
        <v>41569</v>
      </c>
      <c r="O50" s="19">
        <v>41646</v>
      </c>
    </row>
    <row r="51" spans="3:15">
      <c r="C51" s="1" t="s">
        <v>276</v>
      </c>
      <c r="E51" s="1">
        <v>1000</v>
      </c>
      <c r="F51" s="1">
        <v>2000</v>
      </c>
      <c r="G51" s="1">
        <v>2500</v>
      </c>
      <c r="H51" s="1">
        <v>4000</v>
      </c>
      <c r="I51" s="1">
        <v>5000</v>
      </c>
      <c r="J51" s="1">
        <v>7000</v>
      </c>
      <c r="K51" s="1">
        <v>8000</v>
      </c>
      <c r="L51" s="1">
        <v>9000</v>
      </c>
      <c r="M51" s="1">
        <v>10000</v>
      </c>
      <c r="N51" s="1">
        <v>13000</v>
      </c>
      <c r="O51" s="1">
        <v>15000</v>
      </c>
    </row>
    <row r="52" spans="3:15">
      <c r="C52" s="1" t="s">
        <v>277</v>
      </c>
      <c r="E52" s="44">
        <f t="shared" ref="E52:K52" si="5">E51/0.7</f>
        <v>1428.5714285714287</v>
      </c>
      <c r="F52" s="44">
        <f t="shared" si="5"/>
        <v>2857.1428571428573</v>
      </c>
      <c r="G52" s="44">
        <f t="shared" si="5"/>
        <v>3571.4285714285716</v>
      </c>
      <c r="H52" s="44">
        <f t="shared" si="5"/>
        <v>5714.2857142857147</v>
      </c>
      <c r="I52" s="44">
        <f t="shared" si="5"/>
        <v>7142.8571428571431</v>
      </c>
      <c r="J52" s="44">
        <f t="shared" si="5"/>
        <v>10000</v>
      </c>
      <c r="K52" s="44">
        <f t="shared" si="5"/>
        <v>11428.571428571429</v>
      </c>
      <c r="L52" s="44">
        <f>L51/0.7</f>
        <v>12857.142857142859</v>
      </c>
      <c r="M52" s="44">
        <f>M51/0.7</f>
        <v>14285.714285714286</v>
      </c>
      <c r="N52" s="44">
        <f>N51/0.7</f>
        <v>18571.428571428572</v>
      </c>
      <c r="O52" s="44">
        <f>O51/0.7</f>
        <v>21428.571428571431</v>
      </c>
    </row>
    <row r="53" spans="3:15">
      <c r="N53" s="95">
        <f>N52/J52-1</f>
        <v>0.85714285714285721</v>
      </c>
    </row>
    <row r="55" spans="3:15">
      <c r="D55" s="1" t="s">
        <v>280</v>
      </c>
      <c r="E55" s="1" t="s">
        <v>281</v>
      </c>
      <c r="F55" s="1" t="s">
        <v>282</v>
      </c>
      <c r="G55" s="1" t="s">
        <v>283</v>
      </c>
      <c r="H55" s="1" t="s">
        <v>284</v>
      </c>
      <c r="I55" s="1" t="s">
        <v>285</v>
      </c>
      <c r="J55" s="1" t="s">
        <v>286</v>
      </c>
      <c r="K55" s="1" t="s">
        <v>287</v>
      </c>
      <c r="L55" s="1" t="s">
        <v>288</v>
      </c>
      <c r="M55" s="1" t="s">
        <v>289</v>
      </c>
    </row>
    <row r="56" spans="3:15">
      <c r="D56" s="44">
        <f>0.3*E31</f>
        <v>230.7</v>
      </c>
      <c r="E56" s="44">
        <f>0.7*E31</f>
        <v>538.29999999999995</v>
      </c>
      <c r="F56" s="44">
        <f>E45-E31</f>
        <v>659.57142857142867</v>
      </c>
      <c r="G56" s="44">
        <f t="shared" ref="G56:L56" si="6">F45-E45</f>
        <v>1428.5714285714287</v>
      </c>
      <c r="H56" s="44">
        <f t="shared" si="6"/>
        <v>714.28571428571422</v>
      </c>
      <c r="I56" s="44">
        <f t="shared" si="6"/>
        <v>2142.8571428571431</v>
      </c>
      <c r="J56" s="44">
        <f t="shared" si="6"/>
        <v>1428.5714285714284</v>
      </c>
      <c r="K56" s="44">
        <f t="shared" si="6"/>
        <v>2857.1428571428569</v>
      </c>
      <c r="L56" s="44">
        <f t="shared" si="6"/>
        <v>4285.7142857142862</v>
      </c>
      <c r="M56" s="44">
        <f>N52-M52</f>
        <v>4285.7142857142862</v>
      </c>
    </row>
    <row r="58" spans="3:15">
      <c r="J58" s="100"/>
    </row>
    <row r="86" spans="14:14">
      <c r="N86" s="1">
        <v>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opLeftCell="C1" workbookViewId="0">
      <selection activeCell="U27" sqref="U27"/>
    </sheetView>
  </sheetViews>
  <sheetFormatPr baseColWidth="10" defaultRowHeight="15" x14ac:dyDescent="0"/>
  <cols>
    <col min="1" max="23" width="10.83203125" style="1"/>
    <col min="24" max="24" width="11.5" style="1" bestFit="1" customWidth="1"/>
    <col min="25" max="16384" width="10.83203125" style="1"/>
  </cols>
  <sheetData>
    <row r="1" spans="1:25">
      <c r="B1" s="131" t="s">
        <v>76</v>
      </c>
      <c r="C1" s="131" t="s">
        <v>75</v>
      </c>
      <c r="D1" s="131" t="s">
        <v>74</v>
      </c>
      <c r="E1" s="131" t="s">
        <v>73</v>
      </c>
      <c r="F1" s="131" t="s">
        <v>72</v>
      </c>
      <c r="G1" s="131" t="s">
        <v>71</v>
      </c>
      <c r="H1" s="131" t="s">
        <v>70</v>
      </c>
      <c r="I1" s="131" t="s">
        <v>69</v>
      </c>
      <c r="J1" s="131" t="s">
        <v>68</v>
      </c>
      <c r="K1" s="131" t="s">
        <v>67</v>
      </c>
      <c r="L1" s="131" t="s">
        <v>66</v>
      </c>
      <c r="M1" s="131" t="s">
        <v>65</v>
      </c>
      <c r="N1" s="131" t="s">
        <v>64</v>
      </c>
      <c r="O1" s="131" t="s">
        <v>63</v>
      </c>
      <c r="P1" s="131" t="s">
        <v>62</v>
      </c>
      <c r="Q1" s="131" t="s">
        <v>61</v>
      </c>
      <c r="R1" s="131" t="s">
        <v>60</v>
      </c>
      <c r="S1" s="131" t="s">
        <v>59</v>
      </c>
      <c r="T1" s="131" t="s">
        <v>58</v>
      </c>
      <c r="U1" s="135" t="s">
        <v>57</v>
      </c>
      <c r="V1" s="38" t="s">
        <v>56</v>
      </c>
      <c r="W1" s="38" t="s">
        <v>55</v>
      </c>
      <c r="X1" s="38" t="s">
        <v>54</v>
      </c>
      <c r="Y1" s="1" t="s">
        <v>53</v>
      </c>
    </row>
    <row r="2" spans="1:25">
      <c r="A2" s="1" t="s">
        <v>46</v>
      </c>
      <c r="B2" s="146">
        <v>32314.9</v>
      </c>
      <c r="C2" s="146">
        <v>32272.7</v>
      </c>
      <c r="D2" s="146">
        <v>36557.4</v>
      </c>
      <c r="E2" s="146">
        <f>139287.9-SUM(B2:D2)</f>
        <v>38142.899999999994</v>
      </c>
      <c r="F2" s="146">
        <v>36507.4</v>
      </c>
      <c r="G2" s="146">
        <v>40962.800000000003</v>
      </c>
      <c r="H2" s="146">
        <v>41067.599999999999</v>
      </c>
      <c r="I2" s="146">
        <f>172373.1-SUM(F2:H2)</f>
        <v>53835.299999999988</v>
      </c>
      <c r="J2" s="146">
        <v>54505.5</v>
      </c>
      <c r="K2" s="146">
        <v>62058.1</v>
      </c>
      <c r="L2" s="146">
        <v>81132.600000000006</v>
      </c>
      <c r="M2" s="146">
        <v>101150.3</v>
      </c>
      <c r="N2" s="146">
        <v>99775</v>
      </c>
      <c r="O2" s="146">
        <v>107740.4</v>
      </c>
      <c r="P2" s="146">
        <v>115185.4</v>
      </c>
      <c r="Q2" s="146">
        <v>149041.79999999999</v>
      </c>
      <c r="R2" s="146">
        <v>144391.70000000001</v>
      </c>
      <c r="S2" s="146">
        <v>153686.1</v>
      </c>
      <c r="T2" s="146">
        <v>169178.6</v>
      </c>
      <c r="U2" s="4">
        <v>207662.4</v>
      </c>
      <c r="V2" s="147">
        <v>210046.1</v>
      </c>
      <c r="W2" s="147">
        <v>225326.2</v>
      </c>
      <c r="X2" s="147">
        <v>250231.7</v>
      </c>
      <c r="Y2" s="4">
        <v>282251.7</v>
      </c>
    </row>
    <row r="3" spans="1:25">
      <c r="A3" s="1" t="s">
        <v>290</v>
      </c>
      <c r="B3" s="146">
        <f t="shared" ref="B3:Y3" si="0">B4-B2</f>
        <v>261968.1</v>
      </c>
      <c r="C3" s="146">
        <f t="shared" si="0"/>
        <v>272004.59999999998</v>
      </c>
      <c r="D3" s="146">
        <f t="shared" si="0"/>
        <v>271975.69999999995</v>
      </c>
      <c r="E3" s="146">
        <f t="shared" si="0"/>
        <v>277016.59999999986</v>
      </c>
      <c r="F3" s="146">
        <f t="shared" si="0"/>
        <v>232612.69999999998</v>
      </c>
      <c r="G3" s="146">
        <f t="shared" si="0"/>
        <v>245159.5</v>
      </c>
      <c r="H3" s="146">
        <f t="shared" si="0"/>
        <v>267827.10000000003</v>
      </c>
      <c r="I3" s="146">
        <f t="shared" si="0"/>
        <v>293267.20000000024</v>
      </c>
      <c r="J3" s="146">
        <f t="shared" si="0"/>
        <v>305099.5</v>
      </c>
      <c r="K3" s="146">
        <f t="shared" si="0"/>
        <v>305928.60000000003</v>
      </c>
      <c r="L3" s="146">
        <f t="shared" si="0"/>
        <v>335953.1</v>
      </c>
      <c r="M3" s="146">
        <f t="shared" si="0"/>
        <v>350886.2</v>
      </c>
      <c r="N3" s="146">
        <f t="shared" si="0"/>
        <v>328070.7</v>
      </c>
      <c r="O3" s="146">
        <f t="shared" si="0"/>
        <v>320920.75</v>
      </c>
      <c r="P3" s="146">
        <f t="shared" si="0"/>
        <v>326316.80000000005</v>
      </c>
      <c r="Q3" s="146">
        <f t="shared" si="0"/>
        <v>328661.2</v>
      </c>
      <c r="R3" s="146">
        <f t="shared" si="0"/>
        <v>274716.59999999998</v>
      </c>
      <c r="S3" s="146">
        <f t="shared" si="0"/>
        <v>265321.80000000005</v>
      </c>
      <c r="T3" s="146">
        <f t="shared" si="0"/>
        <v>258550.9</v>
      </c>
      <c r="U3" s="146">
        <f t="shared" si="0"/>
        <v>264414</v>
      </c>
      <c r="V3" s="146">
        <f t="shared" si="0"/>
        <v>215775.49999999997</v>
      </c>
      <c r="W3" s="146">
        <f t="shared" si="0"/>
        <v>209832.2</v>
      </c>
      <c r="X3" s="146">
        <f t="shared" si="0"/>
        <v>205410.59999999998</v>
      </c>
      <c r="Y3" s="4">
        <f t="shared" si="0"/>
        <v>207768.61250000005</v>
      </c>
    </row>
    <row r="4" spans="1:25">
      <c r="A4" s="1" t="s">
        <v>291</v>
      </c>
      <c r="B4" s="146">
        <v>294283</v>
      </c>
      <c r="C4" s="146">
        <v>304277.3</v>
      </c>
      <c r="D4" s="146">
        <v>308533.09999999998</v>
      </c>
      <c r="E4" s="146">
        <f>1222252.9-SUM(B4:D4)</f>
        <v>315159.49999999988</v>
      </c>
      <c r="F4" s="146">
        <v>269120.09999999998</v>
      </c>
      <c r="G4" s="146">
        <v>286122.3</v>
      </c>
      <c r="H4" s="146">
        <v>308894.7</v>
      </c>
      <c r="I4" s="146">
        <f>1211239.6-SUM(F4:H4)</f>
        <v>347102.50000000023</v>
      </c>
      <c r="J4" s="146">
        <v>359605</v>
      </c>
      <c r="K4" s="146">
        <v>367986.7</v>
      </c>
      <c r="L4" s="146">
        <v>417085.7</v>
      </c>
      <c r="M4" s="146">
        <v>452036.5</v>
      </c>
      <c r="N4" s="146">
        <v>427845.7</v>
      </c>
      <c r="O4" s="146">
        <v>428661.15</v>
      </c>
      <c r="P4" s="146">
        <v>441502.2</v>
      </c>
      <c r="Q4" s="146">
        <v>477703</v>
      </c>
      <c r="R4" s="146">
        <v>419108.3</v>
      </c>
      <c r="S4" s="146">
        <v>419007.9</v>
      </c>
      <c r="T4" s="146">
        <v>427729.5</v>
      </c>
      <c r="U4" s="4">
        <v>472076.4</v>
      </c>
      <c r="V4" s="147">
        <v>425821.6</v>
      </c>
      <c r="W4" s="147">
        <v>435158.4</v>
      </c>
      <c r="X4" s="147">
        <v>455642.3</v>
      </c>
      <c r="Y4" s="4">
        <v>490020.31250000006</v>
      </c>
    </row>
    <row r="5" spans="1:25">
      <c r="B5" s="139">
        <f t="shared" ref="B5:X5" si="1">B2/B4</f>
        <v>0.10980892542212768</v>
      </c>
      <c r="C5" s="139">
        <f t="shared" si="1"/>
        <v>0.10606344936017245</v>
      </c>
      <c r="D5" s="139">
        <f t="shared" si="1"/>
        <v>0.11848777327294868</v>
      </c>
      <c r="E5" s="139">
        <f t="shared" si="1"/>
        <v>0.12102728935665912</v>
      </c>
      <c r="F5" s="139">
        <f t="shared" si="1"/>
        <v>0.13565467610929099</v>
      </c>
      <c r="G5" s="139">
        <f t="shared" si="1"/>
        <v>0.143165352718051</v>
      </c>
      <c r="H5" s="139">
        <f t="shared" si="1"/>
        <v>0.13295016068582594</v>
      </c>
      <c r="I5" s="139">
        <f t="shared" si="1"/>
        <v>0.15509914218422499</v>
      </c>
      <c r="J5" s="139">
        <f t="shared" si="1"/>
        <v>0.15157047315804842</v>
      </c>
      <c r="K5" s="139">
        <f t="shared" si="1"/>
        <v>0.16864223625473421</v>
      </c>
      <c r="L5" s="139">
        <f t="shared" si="1"/>
        <v>0.19452261249906194</v>
      </c>
      <c r="M5" s="139">
        <f t="shared" si="1"/>
        <v>0.22376577997573205</v>
      </c>
      <c r="N5" s="139">
        <f t="shared" si="1"/>
        <v>0.23320323191281342</v>
      </c>
      <c r="O5" s="139">
        <f t="shared" si="1"/>
        <v>0.25134164829259659</v>
      </c>
      <c r="P5" s="139">
        <f t="shared" si="1"/>
        <v>0.26089428319949481</v>
      </c>
      <c r="Q5" s="139">
        <f t="shared" si="1"/>
        <v>0.3119967846130336</v>
      </c>
      <c r="R5" s="139">
        <f t="shared" si="1"/>
        <v>0.34452121325204016</v>
      </c>
      <c r="S5" s="139">
        <f t="shared" si="1"/>
        <v>0.36678568590234217</v>
      </c>
      <c r="T5" s="148">
        <f t="shared" si="1"/>
        <v>0.39552707961456951</v>
      </c>
      <c r="U5" s="148">
        <f t="shared" si="1"/>
        <v>0.43989150908624108</v>
      </c>
      <c r="V5" s="148">
        <f t="shared" si="1"/>
        <v>0.49327253478921695</v>
      </c>
      <c r="W5" s="149">
        <f t="shared" si="1"/>
        <v>0.51780271275930789</v>
      </c>
      <c r="X5" s="149">
        <f t="shared" si="1"/>
        <v>0.54918452479060886</v>
      </c>
      <c r="Y5" s="36">
        <v>0.57599999999999996</v>
      </c>
    </row>
    <row r="6" spans="1:25">
      <c r="W6" s="139">
        <f>W3/S3-1</f>
        <v>-0.20914074908281199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X56"/>
  <sheetViews>
    <sheetView topLeftCell="X1" workbookViewId="0">
      <selection activeCell="AA25" sqref="AA25"/>
    </sheetView>
  </sheetViews>
  <sheetFormatPr baseColWidth="10" defaultRowHeight="13" x14ac:dyDescent="0"/>
  <cols>
    <col min="1" max="16384" width="10.83203125" style="150"/>
  </cols>
  <sheetData>
    <row r="4" spans="2:50" ht="15">
      <c r="C4" s="151" t="s">
        <v>292</v>
      </c>
      <c r="D4" s="151" t="s">
        <v>293</v>
      </c>
      <c r="E4" s="151" t="s">
        <v>294</v>
      </c>
      <c r="F4" s="151" t="s">
        <v>295</v>
      </c>
      <c r="G4" s="151" t="s">
        <v>296</v>
      </c>
      <c r="H4" s="152" t="s">
        <v>297</v>
      </c>
      <c r="I4" s="151" t="s">
        <v>298</v>
      </c>
      <c r="J4" s="151" t="s">
        <v>299</v>
      </c>
      <c r="K4" s="151" t="s">
        <v>300</v>
      </c>
      <c r="L4" s="151" t="s">
        <v>301</v>
      </c>
      <c r="M4" s="151" t="s">
        <v>302</v>
      </c>
      <c r="N4" s="151" t="s">
        <v>303</v>
      </c>
      <c r="O4" s="151" t="s">
        <v>304</v>
      </c>
      <c r="P4" s="151" t="s">
        <v>305</v>
      </c>
      <c r="Q4" s="151" t="s">
        <v>306</v>
      </c>
      <c r="R4" s="151" t="s">
        <v>307</v>
      </c>
      <c r="S4" s="151" t="s">
        <v>308</v>
      </c>
      <c r="T4" s="152" t="s">
        <v>309</v>
      </c>
      <c r="U4" s="151" t="s">
        <v>310</v>
      </c>
      <c r="V4" s="151" t="s">
        <v>311</v>
      </c>
      <c r="W4" s="151" t="s">
        <v>312</v>
      </c>
      <c r="X4" s="151" t="s">
        <v>313</v>
      </c>
      <c r="Y4" s="151" t="s">
        <v>314</v>
      </c>
      <c r="Z4" s="151" t="s">
        <v>315</v>
      </c>
      <c r="AA4" s="151" t="s">
        <v>316</v>
      </c>
      <c r="AB4" s="151" t="s">
        <v>317</v>
      </c>
      <c r="AC4" s="151" t="s">
        <v>318</v>
      </c>
      <c r="AD4" s="151" t="s">
        <v>319</v>
      </c>
      <c r="AE4" s="151" t="s">
        <v>320</v>
      </c>
      <c r="AF4" s="151" t="s">
        <v>321</v>
      </c>
      <c r="AG4" s="151" t="s">
        <v>322</v>
      </c>
      <c r="AH4" s="151" t="s">
        <v>323</v>
      </c>
      <c r="AI4" s="152" t="s">
        <v>324</v>
      </c>
      <c r="AJ4" s="151" t="s">
        <v>325</v>
      </c>
      <c r="AK4" s="151" t="s">
        <v>326</v>
      </c>
      <c r="AL4" s="151" t="s">
        <v>327</v>
      </c>
      <c r="AM4" s="153" t="s">
        <v>274</v>
      </c>
      <c r="AN4" s="153" t="s">
        <v>328</v>
      </c>
      <c r="AO4" s="153" t="s">
        <v>329</v>
      </c>
      <c r="AP4" s="153" t="s">
        <v>330</v>
      </c>
      <c r="AQ4" s="153" t="s">
        <v>331</v>
      </c>
      <c r="AR4" s="152" t="s">
        <v>332</v>
      </c>
      <c r="AS4" s="151" t="s">
        <v>333</v>
      </c>
      <c r="AT4" s="151" t="s">
        <v>334</v>
      </c>
      <c r="AU4" s="151" t="s">
        <v>335</v>
      </c>
      <c r="AV4" s="151" t="s">
        <v>336</v>
      </c>
      <c r="AW4" s="151" t="s">
        <v>337</v>
      </c>
      <c r="AX4" s="151" t="s">
        <v>338</v>
      </c>
    </row>
    <row r="5" spans="2:50" ht="15">
      <c r="B5" s="150" t="s">
        <v>339</v>
      </c>
      <c r="C5" s="154">
        <v>7.0999999999999994E-2</v>
      </c>
      <c r="D5" s="154">
        <v>0.09</v>
      </c>
      <c r="E5" s="155">
        <v>0.09</v>
      </c>
      <c r="F5" s="154">
        <v>0.12</v>
      </c>
      <c r="G5" s="154">
        <v>0.13</v>
      </c>
      <c r="H5" s="155">
        <v>0.14899999999999999</v>
      </c>
      <c r="I5" s="154">
        <v>0.17</v>
      </c>
      <c r="J5" s="154">
        <v>0.19600000000000001</v>
      </c>
      <c r="K5" s="155">
        <v>0.214</v>
      </c>
      <c r="L5" s="154">
        <v>0.23499999999999999</v>
      </c>
      <c r="M5" s="154">
        <v>0.26</v>
      </c>
      <c r="N5" s="155">
        <v>0.28699999999999998</v>
      </c>
      <c r="O5" s="154">
        <v>0.312</v>
      </c>
      <c r="P5" s="154">
        <v>0.33</v>
      </c>
      <c r="Q5" s="155">
        <v>0.34700000000000003</v>
      </c>
      <c r="R5" s="154">
        <v>0.36399999999999999</v>
      </c>
      <c r="S5" s="154">
        <v>0.38100000000000001</v>
      </c>
      <c r="T5" s="155">
        <v>0.40100000000000002</v>
      </c>
      <c r="U5" s="154">
        <v>0.41799999999999998</v>
      </c>
      <c r="V5" s="154">
        <v>0.437</v>
      </c>
      <c r="W5" s="155">
        <v>0.44799999999999995</v>
      </c>
      <c r="X5" s="154">
        <v>0.46300000000000002</v>
      </c>
      <c r="Y5" s="154">
        <v>0.46899999999999997</v>
      </c>
      <c r="Z5" s="155">
        <v>0.47299999999999998</v>
      </c>
      <c r="AA5" s="154">
        <v>0.48599999999999999</v>
      </c>
      <c r="AB5" s="154">
        <v>0.501</v>
      </c>
      <c r="AC5" s="155">
        <v>0.51</v>
      </c>
      <c r="AD5" s="154">
        <v>0.50800000000000001</v>
      </c>
      <c r="AE5" s="154">
        <v>0.50900000000000001</v>
      </c>
      <c r="AF5" s="154">
        <v>0.51600000000000001</v>
      </c>
      <c r="AG5" s="154">
        <v>0.52200000000000002</v>
      </c>
      <c r="AH5" s="154">
        <v>0.52600000000000002</v>
      </c>
      <c r="AI5" s="154">
        <v>0.52500000000000002</v>
      </c>
      <c r="AJ5" s="154">
        <v>0.53600000000000003</v>
      </c>
      <c r="AK5" s="154">
        <v>0.53700000000000003</v>
      </c>
    </row>
    <row r="6" spans="2:50" ht="15">
      <c r="B6" s="150" t="s">
        <v>340</v>
      </c>
      <c r="C6" s="154">
        <v>0.251</v>
      </c>
      <c r="D6" s="154">
        <v>0.254</v>
      </c>
      <c r="E6" s="156">
        <v>0.254</v>
      </c>
      <c r="F6" s="154">
        <v>0.251</v>
      </c>
      <c r="G6" s="154">
        <v>0.24399999999999999</v>
      </c>
      <c r="H6" s="156">
        <v>0.24299999999999999</v>
      </c>
      <c r="I6" s="154">
        <v>0.23799999999999999</v>
      </c>
      <c r="J6" s="154">
        <v>0.24199999999999999</v>
      </c>
      <c r="K6" s="156">
        <v>0.24299999999999999</v>
      </c>
      <c r="L6" s="154">
        <v>0.246</v>
      </c>
      <c r="M6" s="154">
        <v>0.25</v>
      </c>
      <c r="N6" s="156">
        <v>0.25</v>
      </c>
      <c r="O6" s="154">
        <v>0.247</v>
      </c>
      <c r="P6" s="154">
        <v>0.252</v>
      </c>
      <c r="Q6" s="156">
        <v>0.255</v>
      </c>
      <c r="R6" s="154">
        <v>0.26</v>
      </c>
      <c r="S6" s="154">
        <v>0.26600000000000001</v>
      </c>
      <c r="T6" s="156">
        <v>0.26600000000000001</v>
      </c>
      <c r="U6" s="154">
        <v>0.27</v>
      </c>
      <c r="V6" s="154">
        <v>0.27300000000000002</v>
      </c>
      <c r="W6" s="157">
        <v>0.27399999999999997</v>
      </c>
      <c r="X6" s="154">
        <v>0.28100000000000003</v>
      </c>
      <c r="Y6" s="154">
        <v>0.28699999999999998</v>
      </c>
      <c r="Z6" s="156">
        <v>0.29600000000000004</v>
      </c>
      <c r="AA6" s="154">
        <v>0.29499999999999998</v>
      </c>
      <c r="AB6" s="154">
        <v>0.30199999999999999</v>
      </c>
      <c r="AC6" s="156">
        <v>0.307</v>
      </c>
      <c r="AD6" s="154">
        <v>0.314</v>
      </c>
      <c r="AE6" s="154">
        <v>0.31900000000000001</v>
      </c>
      <c r="AF6" s="154">
        <v>0.32400000000000001</v>
      </c>
      <c r="AG6" s="154">
        <v>0.33399999999999996</v>
      </c>
      <c r="AH6" s="158">
        <v>0.34300000000000003</v>
      </c>
      <c r="AI6" s="158">
        <v>0.34299999999999997</v>
      </c>
      <c r="AJ6" s="158">
        <v>0.34299999999999997</v>
      </c>
      <c r="AK6" s="158">
        <v>0.35</v>
      </c>
      <c r="AL6" s="158">
        <f>SUM(Y5:Y6)</f>
        <v>0.75600000000000001</v>
      </c>
    </row>
    <row r="7" spans="2:50" ht="15">
      <c r="B7" s="150" t="s">
        <v>341</v>
      </c>
      <c r="C7" s="154">
        <v>0.43</v>
      </c>
      <c r="D7" s="154">
        <v>0.42099999999999999</v>
      </c>
      <c r="E7" s="155">
        <v>0.42100000000000004</v>
      </c>
      <c r="F7" s="154">
        <v>0.41099999999999998</v>
      </c>
      <c r="G7" s="154">
        <v>0.41699999999999998</v>
      </c>
      <c r="H7" s="155">
        <v>0.40100000000000002</v>
      </c>
      <c r="I7" s="154">
        <v>0.39300000000000002</v>
      </c>
      <c r="J7" s="154">
        <v>0.376</v>
      </c>
      <c r="K7" s="155">
        <v>0.373</v>
      </c>
      <c r="L7" s="154">
        <v>0.35799999999999998</v>
      </c>
      <c r="M7" s="154">
        <v>0.33500000000000002</v>
      </c>
      <c r="N7" s="155">
        <v>0.316</v>
      </c>
      <c r="O7" s="154">
        <v>0.30399999999999999</v>
      </c>
      <c r="P7" s="154">
        <v>0.28899999999999998</v>
      </c>
      <c r="Q7" s="155">
        <v>0.27100000000000002</v>
      </c>
      <c r="R7" s="154">
        <v>0.25700000000000001</v>
      </c>
      <c r="S7" s="154">
        <v>0.247</v>
      </c>
      <c r="T7" s="155">
        <v>0.23399999999999999</v>
      </c>
      <c r="U7" s="154">
        <v>0.217</v>
      </c>
      <c r="V7" s="154">
        <v>0.19700000000000001</v>
      </c>
      <c r="W7" s="157">
        <v>0.18899999999999997</v>
      </c>
      <c r="X7" s="154">
        <v>0.17199999999999999</v>
      </c>
      <c r="Y7" s="154">
        <v>0.16600000000000001</v>
      </c>
      <c r="Z7" s="155">
        <v>0.16</v>
      </c>
      <c r="AA7" s="154">
        <v>0.152</v>
      </c>
      <c r="AB7" s="154">
        <v>0.13400000000000001</v>
      </c>
      <c r="AC7" s="155">
        <v>0.123</v>
      </c>
      <c r="AD7" s="154">
        <v>0.11600000000000001</v>
      </c>
      <c r="AE7" s="154">
        <v>0.114</v>
      </c>
      <c r="AF7" s="154">
        <v>0.107</v>
      </c>
      <c r="AG7" s="154">
        <v>9.5000000000000001E-2</v>
      </c>
      <c r="AH7" s="154">
        <v>8.3000000000000004E-2</v>
      </c>
      <c r="AI7" s="154">
        <v>8.4000000000000005E-2</v>
      </c>
      <c r="AJ7" s="154">
        <v>7.8E-2</v>
      </c>
      <c r="AK7" s="154">
        <v>7.2999999999999995E-2</v>
      </c>
    </row>
    <row r="8" spans="2:50" ht="15">
      <c r="B8" s="150" t="s">
        <v>342</v>
      </c>
      <c r="C8" s="154">
        <v>0.157</v>
      </c>
      <c r="D8" s="154">
        <v>0.151</v>
      </c>
      <c r="E8" s="155">
        <v>0.151</v>
      </c>
      <c r="F8" s="154">
        <v>0.14000000000000001</v>
      </c>
      <c r="G8" s="154">
        <v>0.13200000000000001</v>
      </c>
      <c r="H8" s="155">
        <v>0.128</v>
      </c>
      <c r="I8" s="154">
        <v>0.11799999999999999</v>
      </c>
      <c r="J8" s="154">
        <v>0.108</v>
      </c>
      <c r="K8" s="155">
        <v>0.1</v>
      </c>
      <c r="L8" s="154">
        <v>9.7000000000000003E-2</v>
      </c>
      <c r="M8" s="154">
        <v>0.09</v>
      </c>
      <c r="N8" s="155">
        <v>8.4000000000000005E-2</v>
      </c>
      <c r="O8" s="154">
        <v>0.08</v>
      </c>
      <c r="P8" s="154">
        <v>7.6999999999999999E-2</v>
      </c>
      <c r="Q8" s="155">
        <v>7.4999999999999997E-2</v>
      </c>
      <c r="R8" s="154">
        <v>6.7000000000000004E-2</v>
      </c>
      <c r="S8" s="154">
        <v>5.8000000000000003E-2</v>
      </c>
      <c r="T8" s="155">
        <v>5.7999999999999996E-2</v>
      </c>
      <c r="U8" s="154">
        <v>5.7000000000000002E-2</v>
      </c>
      <c r="V8" s="154">
        <v>5.7000000000000002E-2</v>
      </c>
      <c r="W8" s="157">
        <v>5.5999999999999994E-2</v>
      </c>
      <c r="X8" s="154">
        <v>5.3999999999999999E-2</v>
      </c>
      <c r="Y8" s="154">
        <v>5.1999999999999998E-2</v>
      </c>
      <c r="Z8" s="155">
        <v>4.7E-2</v>
      </c>
      <c r="AA8" s="154">
        <v>4.3999999999999997E-2</v>
      </c>
      <c r="AB8" s="154">
        <v>3.9E-2</v>
      </c>
      <c r="AC8" s="155">
        <v>3.9E-2</v>
      </c>
      <c r="AD8" s="154">
        <v>0.04</v>
      </c>
      <c r="AE8" s="154">
        <v>0.04</v>
      </c>
      <c r="AF8" s="154">
        <v>3.7999999999999999E-2</v>
      </c>
      <c r="AG8" s="154">
        <v>3.6000000000000004E-2</v>
      </c>
      <c r="AH8" s="154">
        <v>3.6000000000000004E-2</v>
      </c>
      <c r="AI8" s="154">
        <v>3.6000000000000004E-2</v>
      </c>
      <c r="AJ8" s="154">
        <v>3.2000000000000001E-2</v>
      </c>
      <c r="AK8" s="154">
        <v>0.03</v>
      </c>
    </row>
    <row r="9" spans="2:50" ht="15">
      <c r="B9" s="150" t="s">
        <v>343</v>
      </c>
      <c r="C9" s="159">
        <f t="shared" ref="C9:AK9" si="0">1-SUM(C5:C8)</f>
        <v>9.099999999999997E-2</v>
      </c>
      <c r="D9" s="160">
        <f t="shared" si="0"/>
        <v>8.4000000000000075E-2</v>
      </c>
      <c r="E9" s="160">
        <f t="shared" si="0"/>
        <v>8.3999999999999964E-2</v>
      </c>
      <c r="F9" s="160">
        <f t="shared" si="0"/>
        <v>7.7999999999999958E-2</v>
      </c>
      <c r="G9" s="160">
        <f t="shared" si="0"/>
        <v>7.7000000000000068E-2</v>
      </c>
      <c r="H9" s="160">
        <f t="shared" si="0"/>
        <v>7.8999999999999959E-2</v>
      </c>
      <c r="I9" s="160">
        <f t="shared" si="0"/>
        <v>8.0999999999999961E-2</v>
      </c>
      <c r="J9" s="160">
        <f t="shared" si="0"/>
        <v>7.7999999999999958E-2</v>
      </c>
      <c r="K9" s="160">
        <f t="shared" si="0"/>
        <v>7.0000000000000062E-2</v>
      </c>
      <c r="L9" s="160">
        <f t="shared" si="0"/>
        <v>6.4000000000000057E-2</v>
      </c>
      <c r="M9" s="160">
        <f t="shared" si="0"/>
        <v>6.5000000000000058E-2</v>
      </c>
      <c r="N9" s="160">
        <f t="shared" si="0"/>
        <v>6.3000000000000056E-2</v>
      </c>
      <c r="O9" s="160">
        <f t="shared" si="0"/>
        <v>5.7000000000000051E-2</v>
      </c>
      <c r="P9" s="160">
        <f t="shared" si="0"/>
        <v>5.2000000000000046E-2</v>
      </c>
      <c r="Q9" s="160">
        <f t="shared" si="0"/>
        <v>5.1999999999999935E-2</v>
      </c>
      <c r="R9" s="160">
        <f t="shared" si="0"/>
        <v>5.2000000000000046E-2</v>
      </c>
      <c r="S9" s="160">
        <f t="shared" si="0"/>
        <v>4.7999999999999932E-2</v>
      </c>
      <c r="T9" s="160">
        <f t="shared" si="0"/>
        <v>4.0999999999999925E-2</v>
      </c>
      <c r="U9" s="160">
        <f t="shared" si="0"/>
        <v>3.8000000000000034E-2</v>
      </c>
      <c r="V9" s="160">
        <f t="shared" si="0"/>
        <v>3.5999999999999921E-2</v>
      </c>
      <c r="W9" s="160">
        <f t="shared" si="0"/>
        <v>3.300000000000014E-2</v>
      </c>
      <c r="X9" s="160">
        <f t="shared" si="0"/>
        <v>3.0000000000000027E-2</v>
      </c>
      <c r="Y9" s="160">
        <f t="shared" si="0"/>
        <v>2.5999999999999912E-2</v>
      </c>
      <c r="Z9" s="160">
        <f t="shared" si="0"/>
        <v>2.399999999999991E-2</v>
      </c>
      <c r="AA9" s="160">
        <f t="shared" si="0"/>
        <v>2.300000000000002E-2</v>
      </c>
      <c r="AB9" s="160">
        <f t="shared" si="0"/>
        <v>2.4000000000000021E-2</v>
      </c>
      <c r="AC9" s="160">
        <f t="shared" si="0"/>
        <v>2.1000000000000019E-2</v>
      </c>
      <c r="AD9" s="160">
        <f t="shared" si="0"/>
        <v>2.1999999999999909E-2</v>
      </c>
      <c r="AE9" s="160">
        <f t="shared" si="0"/>
        <v>1.7999999999999905E-2</v>
      </c>
      <c r="AF9" s="160">
        <f t="shared" si="0"/>
        <v>1.4999999999999902E-2</v>
      </c>
      <c r="AG9" s="160">
        <f t="shared" si="0"/>
        <v>1.3000000000000012E-2</v>
      </c>
      <c r="AH9" s="160">
        <f t="shared" si="0"/>
        <v>1.2000000000000011E-2</v>
      </c>
      <c r="AI9" s="160">
        <f t="shared" si="0"/>
        <v>1.2000000000000011E-2</v>
      </c>
      <c r="AJ9" s="160">
        <f t="shared" si="0"/>
        <v>1.100000000000001E-2</v>
      </c>
      <c r="AK9" s="160">
        <f t="shared" si="0"/>
        <v>1.0000000000000009E-2</v>
      </c>
    </row>
    <row r="10" spans="2:50">
      <c r="AE10" s="158"/>
    </row>
    <row r="11" spans="2:50">
      <c r="C11" s="150">
        <v>234</v>
      </c>
      <c r="U11" s="158">
        <f>SUM(U5:U6)</f>
        <v>0.68799999999999994</v>
      </c>
      <c r="V11" s="158">
        <f>SUM(V5:V6)</f>
        <v>0.71</v>
      </c>
      <c r="AG11" s="158">
        <f>SUM(AG5:AG6)</f>
        <v>0.85599999999999998</v>
      </c>
      <c r="AH11" s="158">
        <f>SUM(AH5:AH6)</f>
        <v>0.86899999999999999</v>
      </c>
    </row>
    <row r="12" spans="2:50">
      <c r="B12" s="161"/>
      <c r="C12" s="150">
        <v>42.7</v>
      </c>
      <c r="D12" s="150">
        <v>45.4</v>
      </c>
      <c r="E12" s="162">
        <f>AVERAGE(D12,F12)</f>
        <v>46.787499999999994</v>
      </c>
      <c r="F12" s="162">
        <f>AVERAGE(AVERAGE(G12,D12),G12)</f>
        <v>48.174999999999997</v>
      </c>
      <c r="G12" s="150">
        <v>49.1</v>
      </c>
      <c r="H12" s="163">
        <f>AVERAGE(G12,I12)</f>
        <v>51.25</v>
      </c>
      <c r="I12" s="150">
        <v>53.4</v>
      </c>
      <c r="J12" s="150">
        <v>55.7</v>
      </c>
      <c r="K12" s="150">
        <v>58.7</v>
      </c>
      <c r="L12" s="150">
        <v>60.7</v>
      </c>
      <c r="M12" s="150">
        <v>61.5</v>
      </c>
      <c r="N12" s="150">
        <v>63.2</v>
      </c>
      <c r="O12" s="150">
        <v>65.8</v>
      </c>
      <c r="P12" s="150">
        <v>69.5</v>
      </c>
      <c r="Q12" s="150">
        <v>72.5</v>
      </c>
      <c r="R12" s="150">
        <v>74.599999999999994</v>
      </c>
      <c r="S12" s="150">
        <v>76.8</v>
      </c>
      <c r="T12" s="150">
        <v>78.5</v>
      </c>
      <c r="U12" s="150">
        <v>82.2</v>
      </c>
      <c r="V12" s="150">
        <v>84.5</v>
      </c>
      <c r="W12" s="150">
        <v>87.4</v>
      </c>
      <c r="X12" s="150">
        <v>90</v>
      </c>
      <c r="Y12" s="150">
        <v>91.4</v>
      </c>
      <c r="Z12" s="150">
        <v>97.9</v>
      </c>
      <c r="AA12" s="150">
        <v>100</v>
      </c>
      <c r="AB12" s="150">
        <v>104</v>
      </c>
      <c r="AC12" s="150">
        <v>106</v>
      </c>
      <c r="AD12" s="150">
        <v>107</v>
      </c>
      <c r="AE12" s="150">
        <v>110</v>
      </c>
      <c r="AF12" s="150">
        <f>AVERAGE(AE12,AG12)</f>
        <v>112</v>
      </c>
      <c r="AG12" s="150">
        <v>114</v>
      </c>
      <c r="AH12" s="150">
        <v>116.5</v>
      </c>
      <c r="AI12" s="150">
        <v>119.3</v>
      </c>
      <c r="AJ12" s="150">
        <v>121.3</v>
      </c>
      <c r="AK12" s="150">
        <v>123.3</v>
      </c>
      <c r="AL12" s="150">
        <v>125.9</v>
      </c>
      <c r="AM12" s="150">
        <v>129.4</v>
      </c>
      <c r="AN12" s="150">
        <v>133.69999999999999</v>
      </c>
      <c r="AO12" s="150">
        <v>136.69999999999999</v>
      </c>
      <c r="AP12" s="150">
        <v>138.5</v>
      </c>
      <c r="AQ12" s="150">
        <v>141</v>
      </c>
    </row>
    <row r="13" spans="2:50">
      <c r="C13" s="164">
        <f>C12/$C$11</f>
        <v>0.1824786324786325</v>
      </c>
      <c r="D13" s="164">
        <f t="shared" ref="D13:AP13" si="1">D12/$C$11</f>
        <v>0.19401709401709402</v>
      </c>
      <c r="E13" s="164">
        <f t="shared" si="1"/>
        <v>0.19994658119658118</v>
      </c>
      <c r="F13" s="164">
        <f t="shared" si="1"/>
        <v>0.20587606837606837</v>
      </c>
      <c r="G13" s="164">
        <f t="shared" si="1"/>
        <v>0.20982905982905983</v>
      </c>
      <c r="H13" s="164">
        <f t="shared" si="1"/>
        <v>0.21901709401709402</v>
      </c>
      <c r="I13" s="164">
        <f t="shared" si="1"/>
        <v>0.2282051282051282</v>
      </c>
      <c r="J13" s="164">
        <f t="shared" si="1"/>
        <v>0.23803418803418805</v>
      </c>
      <c r="K13" s="164">
        <f t="shared" si="1"/>
        <v>0.25085470085470085</v>
      </c>
      <c r="L13" s="164">
        <f t="shared" si="1"/>
        <v>0.25940170940170942</v>
      </c>
      <c r="M13" s="164">
        <f t="shared" si="1"/>
        <v>0.26282051282051283</v>
      </c>
      <c r="N13" s="164">
        <f t="shared" si="1"/>
        <v>0.27008547008547013</v>
      </c>
      <c r="O13" s="164">
        <f t="shared" si="1"/>
        <v>0.2811965811965812</v>
      </c>
      <c r="P13" s="164">
        <f t="shared" si="1"/>
        <v>0.29700854700854701</v>
      </c>
      <c r="Q13" s="164">
        <f t="shared" si="1"/>
        <v>0.30982905982905984</v>
      </c>
      <c r="R13" s="164">
        <f t="shared" si="1"/>
        <v>0.31880341880341878</v>
      </c>
      <c r="S13" s="164">
        <f t="shared" si="1"/>
        <v>0.3282051282051282</v>
      </c>
      <c r="T13" s="164">
        <f t="shared" si="1"/>
        <v>0.33547008547008544</v>
      </c>
      <c r="U13" s="164">
        <f t="shared" si="1"/>
        <v>0.35128205128205131</v>
      </c>
      <c r="V13" s="164">
        <f t="shared" si="1"/>
        <v>0.3611111111111111</v>
      </c>
      <c r="W13" s="164">
        <f t="shared" si="1"/>
        <v>0.37350427350427351</v>
      </c>
      <c r="X13" s="164">
        <f t="shared" si="1"/>
        <v>0.38461538461538464</v>
      </c>
      <c r="Y13" s="164">
        <f t="shared" si="1"/>
        <v>0.3905982905982906</v>
      </c>
      <c r="Z13" s="164">
        <f t="shared" si="1"/>
        <v>0.41837606837606839</v>
      </c>
      <c r="AA13" s="164">
        <f t="shared" si="1"/>
        <v>0.42735042735042733</v>
      </c>
      <c r="AB13" s="164">
        <f t="shared" si="1"/>
        <v>0.44444444444444442</v>
      </c>
      <c r="AC13" s="164">
        <f t="shared" si="1"/>
        <v>0.45299145299145299</v>
      </c>
      <c r="AD13" s="164">
        <f t="shared" si="1"/>
        <v>0.45726495726495725</v>
      </c>
      <c r="AE13" s="164">
        <f t="shared" si="1"/>
        <v>0.47008547008547008</v>
      </c>
      <c r="AF13" s="164">
        <f t="shared" si="1"/>
        <v>0.47863247863247865</v>
      </c>
      <c r="AG13" s="164">
        <f t="shared" si="1"/>
        <v>0.48717948717948717</v>
      </c>
      <c r="AH13" s="164">
        <f t="shared" si="1"/>
        <v>0.49786324786324787</v>
      </c>
      <c r="AI13" s="164">
        <f t="shared" si="1"/>
        <v>0.50982905982905979</v>
      </c>
      <c r="AJ13" s="164">
        <f t="shared" si="1"/>
        <v>0.51837606837606831</v>
      </c>
      <c r="AK13" s="164">
        <f t="shared" si="1"/>
        <v>0.52692307692307694</v>
      </c>
      <c r="AL13" s="164">
        <f t="shared" si="1"/>
        <v>0.53803418803418801</v>
      </c>
      <c r="AM13" s="164">
        <f t="shared" si="1"/>
        <v>0.55299145299145303</v>
      </c>
      <c r="AN13" s="164">
        <f t="shared" si="1"/>
        <v>0.57136752136752134</v>
      </c>
      <c r="AO13" s="164">
        <f t="shared" si="1"/>
        <v>0.58418803418803411</v>
      </c>
      <c r="AP13" s="164">
        <f t="shared" si="1"/>
        <v>0.59188034188034189</v>
      </c>
      <c r="AQ13" s="165">
        <v>0.6</v>
      </c>
      <c r="AR13" s="166">
        <v>0.6</v>
      </c>
      <c r="AS13" s="166">
        <v>0.6</v>
      </c>
      <c r="AT13" s="166">
        <v>0.61</v>
      </c>
      <c r="AU13" s="166">
        <v>0.62</v>
      </c>
      <c r="AV13" s="166">
        <v>0.625</v>
      </c>
      <c r="AW13" s="166">
        <v>0.63800000000000001</v>
      </c>
      <c r="AX13" s="166">
        <v>0.65200000000000002</v>
      </c>
    </row>
    <row r="15" spans="2:50">
      <c r="O15" s="150">
        <f>O12-C12</f>
        <v>23.099999999999994</v>
      </c>
      <c r="P15" s="150">
        <f t="shared" ref="P15:AQ15" si="2">P12-D12</f>
        <v>24.1</v>
      </c>
      <c r="Q15" s="150">
        <f t="shared" si="2"/>
        <v>25.712500000000006</v>
      </c>
      <c r="R15" s="150">
        <f t="shared" si="2"/>
        <v>26.424999999999997</v>
      </c>
      <c r="S15" s="150">
        <f t="shared" si="2"/>
        <v>27.699999999999996</v>
      </c>
      <c r="T15" s="150">
        <f t="shared" si="2"/>
        <v>27.25</v>
      </c>
      <c r="U15" s="150">
        <f t="shared" si="2"/>
        <v>28.800000000000004</v>
      </c>
      <c r="V15" s="150">
        <f t="shared" si="2"/>
        <v>28.799999999999997</v>
      </c>
      <c r="W15" s="150">
        <f t="shared" si="2"/>
        <v>28.700000000000003</v>
      </c>
      <c r="X15" s="150">
        <f t="shared" si="2"/>
        <v>29.299999999999997</v>
      </c>
      <c r="Y15" s="150">
        <f t="shared" si="2"/>
        <v>29.900000000000006</v>
      </c>
      <c r="Z15" s="150">
        <f t="shared" si="2"/>
        <v>34.700000000000003</v>
      </c>
      <c r="AA15" s="150">
        <f t="shared" si="2"/>
        <v>34.200000000000003</v>
      </c>
      <c r="AB15" s="150">
        <f t="shared" si="2"/>
        <v>34.5</v>
      </c>
      <c r="AC15" s="150">
        <f t="shared" si="2"/>
        <v>33.5</v>
      </c>
      <c r="AD15" s="150">
        <f t="shared" si="2"/>
        <v>32.400000000000006</v>
      </c>
      <c r="AE15" s="150">
        <f t="shared" si="2"/>
        <v>33.200000000000003</v>
      </c>
      <c r="AF15" s="150">
        <f t="shared" si="2"/>
        <v>33.5</v>
      </c>
      <c r="AG15" s="150">
        <f t="shared" si="2"/>
        <v>31.799999999999997</v>
      </c>
      <c r="AH15" s="150">
        <f t="shared" si="2"/>
        <v>32</v>
      </c>
      <c r="AI15" s="150">
        <f t="shared" si="2"/>
        <v>31.899999999999991</v>
      </c>
      <c r="AJ15" s="150">
        <f t="shared" si="2"/>
        <v>31.299999999999997</v>
      </c>
      <c r="AK15" s="150">
        <f t="shared" si="2"/>
        <v>31.899999999999991</v>
      </c>
      <c r="AL15" s="150">
        <f t="shared" si="2"/>
        <v>28</v>
      </c>
      <c r="AM15" s="150">
        <f t="shared" si="2"/>
        <v>29.400000000000006</v>
      </c>
      <c r="AN15" s="150">
        <f t="shared" si="2"/>
        <v>29.699999999999989</v>
      </c>
      <c r="AO15" s="150">
        <f t="shared" si="2"/>
        <v>30.699999999999989</v>
      </c>
      <c r="AP15" s="150">
        <f t="shared" si="2"/>
        <v>31.5</v>
      </c>
      <c r="AQ15" s="150">
        <f t="shared" si="2"/>
        <v>31</v>
      </c>
    </row>
    <row r="55" spans="34:34">
      <c r="AH55" s="150" t="s">
        <v>344</v>
      </c>
    </row>
    <row r="56" spans="34:34">
      <c r="AH56" s="150" t="s">
        <v>344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Z24"/>
  <sheetViews>
    <sheetView topLeftCell="A15" workbookViewId="0">
      <selection activeCell="E25" sqref="E25"/>
    </sheetView>
  </sheetViews>
  <sheetFormatPr baseColWidth="10" defaultRowHeight="15" outlineLevelRow="1" x14ac:dyDescent="0"/>
  <cols>
    <col min="1" max="1" width="10.83203125" style="1"/>
    <col min="2" max="2" width="17" style="1" bestFit="1" customWidth="1"/>
    <col min="3" max="19" width="10.83203125" style="1"/>
    <col min="20" max="20" width="11.6640625" style="1" bestFit="1" customWidth="1"/>
    <col min="21" max="16384" width="10.83203125" style="1"/>
  </cols>
  <sheetData>
    <row r="4" spans="2:26">
      <c r="C4" s="131" t="s">
        <v>76</v>
      </c>
      <c r="D4" s="131" t="s">
        <v>75</v>
      </c>
      <c r="E4" s="131" t="s">
        <v>74</v>
      </c>
      <c r="F4" s="131" t="s">
        <v>73</v>
      </c>
      <c r="G4" s="131" t="s">
        <v>72</v>
      </c>
      <c r="H4" s="131" t="s">
        <v>71</v>
      </c>
      <c r="I4" s="131" t="s">
        <v>70</v>
      </c>
      <c r="J4" s="131" t="s">
        <v>69</v>
      </c>
      <c r="K4" s="131" t="s">
        <v>68</v>
      </c>
      <c r="L4" s="131" t="s">
        <v>67</v>
      </c>
      <c r="M4" s="131" t="s">
        <v>66</v>
      </c>
      <c r="N4" s="131" t="s">
        <v>65</v>
      </c>
      <c r="O4" s="131" t="s">
        <v>64</v>
      </c>
      <c r="P4" s="131" t="s">
        <v>63</v>
      </c>
      <c r="Q4" s="131" t="s">
        <v>62</v>
      </c>
      <c r="R4" s="131" t="s">
        <v>61</v>
      </c>
      <c r="S4" s="131" t="s">
        <v>60</v>
      </c>
      <c r="T4" s="131" t="s">
        <v>59</v>
      </c>
      <c r="U4" s="131" t="s">
        <v>58</v>
      </c>
      <c r="V4" s="38" t="s">
        <v>57</v>
      </c>
      <c r="W4" s="1" t="s">
        <v>56</v>
      </c>
      <c r="X4" s="1" t="s">
        <v>55</v>
      </c>
      <c r="Y4" s="1" t="s">
        <v>54</v>
      </c>
      <c r="Z4" s="1" t="s">
        <v>53</v>
      </c>
    </row>
    <row r="5" spans="2:26">
      <c r="B5" s="1" t="s">
        <v>52</v>
      </c>
      <c r="C5" s="2">
        <v>12974</v>
      </c>
      <c r="D5" s="2">
        <v>13012</v>
      </c>
      <c r="E5" s="2">
        <v>14785</v>
      </c>
      <c r="F5" s="2">
        <v>14239.9</v>
      </c>
      <c r="G5" s="2">
        <v>12773</v>
      </c>
      <c r="H5" s="2">
        <v>12869</v>
      </c>
      <c r="I5" s="2">
        <v>15513.42</v>
      </c>
      <c r="J5" s="2">
        <v>17950.993000000002</v>
      </c>
      <c r="K5" s="2">
        <v>15468.234</v>
      </c>
      <c r="L5" s="2">
        <v>14638.985499999999</v>
      </c>
      <c r="M5" s="2">
        <v>15615.327000000001</v>
      </c>
      <c r="N5" s="2">
        <v>17771.590499999998</v>
      </c>
      <c r="O5" s="2">
        <v>15007.369500000001</v>
      </c>
      <c r="P5" s="2">
        <v>15075.543</v>
      </c>
      <c r="Q5" s="2">
        <v>16441.763999999999</v>
      </c>
      <c r="R5" s="2">
        <v>14917.633</v>
      </c>
      <c r="S5" s="2">
        <v>15509.7065</v>
      </c>
      <c r="T5" s="2">
        <v>13229.274000000001</v>
      </c>
      <c r="U5" s="2">
        <v>13748.380499999999</v>
      </c>
    </row>
    <row r="6" spans="2:26">
      <c r="B6" s="1" t="s">
        <v>38</v>
      </c>
      <c r="C6" s="2">
        <v>4798</v>
      </c>
      <c r="D6" s="2">
        <v>5581</v>
      </c>
      <c r="E6" s="2">
        <v>5941</v>
      </c>
      <c r="F6" s="2">
        <v>5509.3</v>
      </c>
      <c r="G6" s="2">
        <v>4384</v>
      </c>
      <c r="H6" s="2">
        <v>5645.8</v>
      </c>
      <c r="I6" s="2">
        <v>6871.3789999999999</v>
      </c>
      <c r="J6" s="2">
        <v>7848.6785</v>
      </c>
      <c r="K6" s="2">
        <v>7002.3415000000005</v>
      </c>
      <c r="L6" s="2">
        <v>8356.1360000000004</v>
      </c>
      <c r="M6" s="2">
        <v>9554.9585000000006</v>
      </c>
      <c r="N6" s="2">
        <v>10015.386</v>
      </c>
      <c r="O6" s="2">
        <v>8609.3335000000006</v>
      </c>
      <c r="P6" s="2">
        <v>10250.679</v>
      </c>
      <c r="Q6" s="2">
        <v>12465.597</v>
      </c>
      <c r="R6" s="2">
        <v>12971.567999999999</v>
      </c>
      <c r="S6" s="2">
        <v>11666.255000000001</v>
      </c>
      <c r="T6" s="2">
        <v>12852.6505</v>
      </c>
      <c r="U6" s="2">
        <v>13795.973</v>
      </c>
    </row>
    <row r="7" spans="2:26">
      <c r="B7" s="1" t="s">
        <v>51</v>
      </c>
      <c r="C7" s="2">
        <v>10579</v>
      </c>
      <c r="D7" s="2">
        <v>11160</v>
      </c>
      <c r="E7" s="2">
        <v>11089</v>
      </c>
      <c r="F7" s="2">
        <v>9839.2999999999993</v>
      </c>
      <c r="G7" s="2">
        <v>8406</v>
      </c>
      <c r="H7" s="2">
        <v>8644.2000000000007</v>
      </c>
      <c r="I7" s="2">
        <v>9908.0990000000002</v>
      </c>
      <c r="J7" s="2">
        <v>10540.644</v>
      </c>
      <c r="K7" s="2">
        <v>10339.883</v>
      </c>
      <c r="L7" s="2">
        <v>10454.537</v>
      </c>
      <c r="M7" s="2">
        <v>11006.057499999999</v>
      </c>
      <c r="N7" s="2">
        <v>10976.1585</v>
      </c>
      <c r="O7" s="2">
        <v>10161.179</v>
      </c>
      <c r="P7" s="2">
        <v>10774.218000000001</v>
      </c>
      <c r="Q7" s="2">
        <v>10841.68</v>
      </c>
      <c r="R7" s="2">
        <v>11801.939999999999</v>
      </c>
      <c r="S7" s="2">
        <v>9974.0604999999996</v>
      </c>
      <c r="T7" s="2">
        <v>9493.1059999999998</v>
      </c>
      <c r="U7" s="2">
        <v>9357.8189999999995</v>
      </c>
    </row>
    <row r="8" spans="2:26">
      <c r="B8" s="1" t="s">
        <v>50</v>
      </c>
      <c r="C8" s="2">
        <v>6911</v>
      </c>
      <c r="D8" s="2">
        <v>6851</v>
      </c>
      <c r="E8" s="2">
        <v>10098</v>
      </c>
      <c r="F8" s="2">
        <v>8612.7000000000007</v>
      </c>
      <c r="G8" s="2">
        <v>7779</v>
      </c>
      <c r="H8" s="2">
        <v>8203.4</v>
      </c>
      <c r="I8" s="2">
        <v>11726.585999999999</v>
      </c>
      <c r="J8" s="2">
        <v>11790.0455</v>
      </c>
      <c r="K8" s="2">
        <v>11572.9295</v>
      </c>
      <c r="L8" s="2">
        <v>10939.627499999999</v>
      </c>
      <c r="M8" s="2">
        <v>12102.411</v>
      </c>
      <c r="N8" s="2">
        <v>11343.303</v>
      </c>
      <c r="O8" s="2">
        <v>9806.6270000000004</v>
      </c>
      <c r="P8" s="2">
        <v>9229.4945000000007</v>
      </c>
      <c r="Q8" s="2">
        <v>9446.9264999999996</v>
      </c>
      <c r="R8" s="2">
        <v>9806.607</v>
      </c>
      <c r="S8" s="2">
        <v>9153.2619999999988</v>
      </c>
      <c r="T8" s="2">
        <v>9333.1915000000008</v>
      </c>
      <c r="U8" s="2">
        <v>8523.6334999999999</v>
      </c>
    </row>
    <row r="9" spans="2:26">
      <c r="B9" s="1" t="s">
        <v>49</v>
      </c>
      <c r="C9" s="2">
        <v>2289</v>
      </c>
      <c r="D9" s="2">
        <v>2496</v>
      </c>
      <c r="E9" s="2">
        <v>2611</v>
      </c>
      <c r="F9" s="2">
        <v>2524</v>
      </c>
      <c r="G9" s="2">
        <v>2216</v>
      </c>
      <c r="H9" s="2">
        <v>2603</v>
      </c>
      <c r="I9" s="2">
        <v>3053</v>
      </c>
      <c r="J9" s="132">
        <v>3362</v>
      </c>
      <c r="K9" s="132">
        <v>2943</v>
      </c>
      <c r="L9" s="132">
        <v>3472</v>
      </c>
      <c r="M9" s="132">
        <v>3885</v>
      </c>
      <c r="N9" s="132">
        <v>4134</v>
      </c>
      <c r="O9" s="132">
        <v>3760</v>
      </c>
      <c r="P9" s="132">
        <v>3947</v>
      </c>
      <c r="Q9" s="132">
        <v>4894</v>
      </c>
      <c r="R9" s="132">
        <v>5200</v>
      </c>
      <c r="S9" s="132">
        <v>4000</v>
      </c>
      <c r="T9" s="132">
        <v>4020</v>
      </c>
      <c r="U9" s="2">
        <v>4923</v>
      </c>
    </row>
    <row r="10" spans="2:26">
      <c r="B10" s="1" t="s">
        <v>39</v>
      </c>
      <c r="C10" s="2">
        <v>34293</v>
      </c>
      <c r="D10" s="2">
        <v>32641</v>
      </c>
      <c r="E10" s="2">
        <v>35946</v>
      </c>
      <c r="F10" s="2">
        <v>32999.5</v>
      </c>
      <c r="G10" s="2">
        <v>30661</v>
      </c>
      <c r="H10" s="2">
        <v>30666.1</v>
      </c>
      <c r="I10" s="2">
        <v>34979.540999999997</v>
      </c>
      <c r="J10" s="2">
        <v>38657.738499999999</v>
      </c>
      <c r="K10" s="2">
        <v>36863.870500000005</v>
      </c>
      <c r="L10" s="2">
        <v>34939.154999999999</v>
      </c>
      <c r="M10" s="2">
        <v>36652.020000000004</v>
      </c>
      <c r="N10" s="2">
        <v>38915.349499999997</v>
      </c>
      <c r="O10" s="2">
        <v>38866.084499999997</v>
      </c>
      <c r="P10" s="2">
        <v>35539.998999999996</v>
      </c>
      <c r="Q10" s="2">
        <v>37743.319000000003</v>
      </c>
      <c r="R10" s="2">
        <v>37828.892</v>
      </c>
      <c r="S10" s="2">
        <v>37742.2065</v>
      </c>
      <c r="T10" s="2">
        <v>38171.414499999999</v>
      </c>
      <c r="U10" s="2">
        <v>37301.218999999997</v>
      </c>
    </row>
    <row r="11" spans="2:26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X11" s="103">
        <f>X12/T12-1</f>
        <v>-0.13166112926315132</v>
      </c>
    </row>
    <row r="12" spans="2:26">
      <c r="B12" s="1" t="s">
        <v>48</v>
      </c>
      <c r="C12" s="2">
        <f t="shared" ref="C12:S12" si="0">SUM(C5:C10)</f>
        <v>71844</v>
      </c>
      <c r="D12" s="2">
        <f t="shared" si="0"/>
        <v>71741</v>
      </c>
      <c r="E12" s="2">
        <f t="shared" si="0"/>
        <v>80470</v>
      </c>
      <c r="F12" s="2">
        <f t="shared" si="0"/>
        <v>73724.7</v>
      </c>
      <c r="G12" s="2">
        <f t="shared" si="0"/>
        <v>66219</v>
      </c>
      <c r="H12" s="2">
        <f t="shared" si="0"/>
        <v>68631.5</v>
      </c>
      <c r="I12" s="2">
        <f t="shared" si="0"/>
        <v>82052.024999999994</v>
      </c>
      <c r="J12" s="2">
        <f t="shared" si="0"/>
        <v>90150.099500000011</v>
      </c>
      <c r="K12" s="2">
        <f t="shared" si="0"/>
        <v>84190.258499999996</v>
      </c>
      <c r="L12" s="2">
        <f t="shared" si="0"/>
        <v>82800.441000000006</v>
      </c>
      <c r="M12" s="2">
        <f t="shared" si="0"/>
        <v>88815.774000000005</v>
      </c>
      <c r="N12" s="2">
        <f t="shared" si="0"/>
        <v>93155.787499999991</v>
      </c>
      <c r="O12" s="2">
        <f t="shared" si="0"/>
        <v>86210.593499999988</v>
      </c>
      <c r="P12" s="2">
        <f t="shared" si="0"/>
        <v>84816.933499999999</v>
      </c>
      <c r="Q12" s="2">
        <f t="shared" si="0"/>
        <v>91833.286500000002</v>
      </c>
      <c r="R12" s="2">
        <f t="shared" si="0"/>
        <v>92526.640000000014</v>
      </c>
      <c r="S12" s="2">
        <f t="shared" si="0"/>
        <v>88045.4905</v>
      </c>
      <c r="T12" s="2">
        <v>87099.636499999993</v>
      </c>
      <c r="U12" s="2">
        <f>SUM(U5:U10)</f>
        <v>87650.024999999994</v>
      </c>
      <c r="V12" s="2">
        <v>90080.97099999999</v>
      </c>
      <c r="W12" s="1">
        <v>79200</v>
      </c>
      <c r="X12" s="1">
        <v>75632</v>
      </c>
      <c r="Y12" s="133">
        <v>80944</v>
      </c>
      <c r="Z12" s="1">
        <v>82556</v>
      </c>
    </row>
    <row r="13" spans="2:26">
      <c r="B13" s="1" t="s">
        <v>47</v>
      </c>
      <c r="C13" s="134">
        <v>0</v>
      </c>
      <c r="D13" s="134">
        <v>0</v>
      </c>
      <c r="E13" s="134">
        <v>0</v>
      </c>
      <c r="F13" s="134">
        <v>0</v>
      </c>
      <c r="G13" s="134">
        <v>0</v>
      </c>
      <c r="H13" s="134">
        <v>0</v>
      </c>
      <c r="I13" s="134">
        <v>0</v>
      </c>
      <c r="J13" s="134">
        <v>0</v>
      </c>
      <c r="K13" s="134">
        <v>0</v>
      </c>
      <c r="L13" s="134">
        <v>3370</v>
      </c>
      <c r="M13" s="134">
        <v>4290</v>
      </c>
      <c r="N13" s="134">
        <v>9464</v>
      </c>
      <c r="O13" s="134">
        <v>7138</v>
      </c>
      <c r="P13" s="134">
        <v>13394.8</v>
      </c>
      <c r="Q13" s="134">
        <v>15820</v>
      </c>
      <c r="R13" s="134">
        <v>28309</v>
      </c>
      <c r="S13" s="134">
        <v>16731.5</v>
      </c>
      <c r="T13" s="134">
        <v>24602</v>
      </c>
      <c r="U13" s="134">
        <v>27245.677</v>
      </c>
      <c r="V13" s="2">
        <v>52500</v>
      </c>
      <c r="W13" s="1">
        <v>49200</v>
      </c>
      <c r="X13" s="1">
        <v>51617</v>
      </c>
      <c r="Y13" s="133">
        <v>51700</v>
      </c>
      <c r="Z13" s="1">
        <v>76820</v>
      </c>
    </row>
    <row r="14" spans="2:26" hidden="1" outlineLevel="1">
      <c r="B14" s="1" t="s">
        <v>46</v>
      </c>
      <c r="C14" s="134">
        <v>32314.9</v>
      </c>
      <c r="D14" s="134">
        <v>32272.7</v>
      </c>
      <c r="E14" s="134">
        <v>36557.4</v>
      </c>
      <c r="F14" s="134">
        <f>139287.9-SUM(C14:E14)</f>
        <v>38142.899999999994</v>
      </c>
      <c r="G14" s="134">
        <v>36507.4</v>
      </c>
      <c r="H14" s="134">
        <v>40962.800000000003</v>
      </c>
      <c r="I14" s="134">
        <v>41067.599999999999</v>
      </c>
      <c r="J14" s="134">
        <f>172373.1-SUM(G14:I14)</f>
        <v>53835.299999999988</v>
      </c>
      <c r="K14" s="134">
        <v>54505.5</v>
      </c>
      <c r="L14" s="134">
        <v>62058.1</v>
      </c>
      <c r="M14" s="134">
        <v>81132.600000000006</v>
      </c>
      <c r="N14" s="134">
        <v>101150.3</v>
      </c>
      <c r="O14" s="134">
        <v>99775</v>
      </c>
      <c r="P14" s="134">
        <v>107740.4</v>
      </c>
      <c r="Q14" s="134">
        <v>115185.4</v>
      </c>
      <c r="R14" s="134">
        <v>149041.79999999999</v>
      </c>
      <c r="S14" s="134">
        <v>144391.70000000001</v>
      </c>
      <c r="T14" s="134">
        <v>153686.1</v>
      </c>
      <c r="U14" s="134">
        <v>169178.6</v>
      </c>
    </row>
    <row r="15" spans="2:26" collapsed="1">
      <c r="C15" s="2">
        <f t="shared" ref="C15:X15" si="1">SUM(C12:C13)</f>
        <v>71844</v>
      </c>
      <c r="D15" s="2">
        <f t="shared" si="1"/>
        <v>71741</v>
      </c>
      <c r="E15" s="2">
        <f t="shared" si="1"/>
        <v>80470</v>
      </c>
      <c r="F15" s="2">
        <f t="shared" si="1"/>
        <v>73724.7</v>
      </c>
      <c r="G15" s="2">
        <f t="shared" si="1"/>
        <v>66219</v>
      </c>
      <c r="H15" s="2">
        <f t="shared" si="1"/>
        <v>68631.5</v>
      </c>
      <c r="I15" s="2">
        <f t="shared" si="1"/>
        <v>82052.024999999994</v>
      </c>
      <c r="J15" s="2">
        <f t="shared" si="1"/>
        <v>90150.099500000011</v>
      </c>
      <c r="K15" s="2">
        <f t="shared" si="1"/>
        <v>84190.258499999996</v>
      </c>
      <c r="L15" s="2">
        <f t="shared" si="1"/>
        <v>86170.441000000006</v>
      </c>
      <c r="M15" s="2">
        <f t="shared" si="1"/>
        <v>93105.774000000005</v>
      </c>
      <c r="N15" s="2">
        <f t="shared" si="1"/>
        <v>102619.78749999999</v>
      </c>
      <c r="O15" s="2">
        <f t="shared" si="1"/>
        <v>93348.593499999988</v>
      </c>
      <c r="P15" s="2">
        <f t="shared" si="1"/>
        <v>98211.733500000002</v>
      </c>
      <c r="Q15" s="2">
        <f t="shared" si="1"/>
        <v>107653.2865</v>
      </c>
      <c r="R15" s="2">
        <f t="shared" si="1"/>
        <v>120835.64000000001</v>
      </c>
      <c r="S15" s="2">
        <f t="shared" si="1"/>
        <v>104776.9905</v>
      </c>
      <c r="T15" s="2">
        <f t="shared" si="1"/>
        <v>111701.63649999999</v>
      </c>
      <c r="U15" s="2">
        <f t="shared" si="1"/>
        <v>114895.70199999999</v>
      </c>
      <c r="V15" s="2">
        <f t="shared" si="1"/>
        <v>142580.97099999999</v>
      </c>
      <c r="W15" s="2">
        <f t="shared" si="1"/>
        <v>128400</v>
      </c>
      <c r="X15" s="2">
        <f t="shared" si="1"/>
        <v>127249</v>
      </c>
    </row>
    <row r="16" spans="2:26">
      <c r="C16" s="2">
        <f t="shared" ref="C16:T16" si="2">SUM(C12:C14)</f>
        <v>104158.9</v>
      </c>
      <c r="D16" s="2">
        <f t="shared" si="2"/>
        <v>104013.7</v>
      </c>
      <c r="E16" s="2">
        <f t="shared" si="2"/>
        <v>117027.4</v>
      </c>
      <c r="F16" s="2">
        <f t="shared" si="2"/>
        <v>111867.59999999999</v>
      </c>
      <c r="G16" s="2">
        <f t="shared" si="2"/>
        <v>102726.39999999999</v>
      </c>
      <c r="H16" s="2">
        <f t="shared" si="2"/>
        <v>109594.3</v>
      </c>
      <c r="I16" s="2">
        <f t="shared" si="2"/>
        <v>123119.625</v>
      </c>
      <c r="J16" s="2">
        <f t="shared" si="2"/>
        <v>143985.3995</v>
      </c>
      <c r="K16" s="2">
        <f t="shared" si="2"/>
        <v>138695.7585</v>
      </c>
      <c r="L16" s="2">
        <f t="shared" si="2"/>
        <v>148228.541</v>
      </c>
      <c r="M16" s="2">
        <f t="shared" si="2"/>
        <v>174238.37400000001</v>
      </c>
      <c r="N16" s="2">
        <f t="shared" si="2"/>
        <v>203770.08749999999</v>
      </c>
      <c r="O16" s="2">
        <f t="shared" si="2"/>
        <v>193123.59349999999</v>
      </c>
      <c r="P16" s="2">
        <f t="shared" si="2"/>
        <v>205952.1335</v>
      </c>
      <c r="Q16" s="2">
        <f t="shared" si="2"/>
        <v>222838.68650000001</v>
      </c>
      <c r="R16" s="2">
        <f t="shared" si="2"/>
        <v>269877.44</v>
      </c>
      <c r="S16" s="2">
        <f t="shared" si="2"/>
        <v>249168.69050000003</v>
      </c>
      <c r="T16" s="2">
        <f t="shared" si="2"/>
        <v>265387.7365</v>
      </c>
      <c r="X16" s="95">
        <f>X13/T13-1</f>
        <v>1.0980814567921309</v>
      </c>
    </row>
    <row r="17" spans="3:20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95">
        <f>T12/T15</f>
        <v>0.77975255537102184</v>
      </c>
    </row>
    <row r="18" spans="3:20">
      <c r="T18" s="95">
        <f>T13/T15</f>
        <v>0.22024744462897822</v>
      </c>
    </row>
    <row r="21" spans="3:20">
      <c r="C21" s="4">
        <f t="shared" ref="C21:T21" si="3">SUM(C13:C14)</f>
        <v>32314.9</v>
      </c>
      <c r="D21" s="4">
        <f t="shared" si="3"/>
        <v>32272.7</v>
      </c>
      <c r="E21" s="4">
        <f t="shared" si="3"/>
        <v>36557.4</v>
      </c>
      <c r="F21" s="4">
        <f t="shared" si="3"/>
        <v>38142.899999999994</v>
      </c>
      <c r="G21" s="4">
        <f t="shared" si="3"/>
        <v>36507.4</v>
      </c>
      <c r="H21" s="4">
        <f t="shared" si="3"/>
        <v>40962.800000000003</v>
      </c>
      <c r="I21" s="4">
        <f t="shared" si="3"/>
        <v>41067.599999999999</v>
      </c>
      <c r="J21" s="4">
        <f t="shared" si="3"/>
        <v>53835.299999999988</v>
      </c>
      <c r="K21" s="4">
        <f t="shared" si="3"/>
        <v>54505.5</v>
      </c>
      <c r="L21" s="4">
        <f t="shared" si="3"/>
        <v>65428.1</v>
      </c>
      <c r="M21" s="4">
        <f t="shared" si="3"/>
        <v>85422.6</v>
      </c>
      <c r="N21" s="4">
        <f t="shared" si="3"/>
        <v>110614.3</v>
      </c>
      <c r="O21" s="4">
        <f t="shared" si="3"/>
        <v>106913</v>
      </c>
      <c r="P21" s="4">
        <f t="shared" si="3"/>
        <v>121135.2</v>
      </c>
      <c r="Q21" s="4">
        <f t="shared" si="3"/>
        <v>131005.4</v>
      </c>
      <c r="R21" s="4">
        <f t="shared" si="3"/>
        <v>177350.8</v>
      </c>
      <c r="S21" s="4">
        <f t="shared" si="3"/>
        <v>161123.20000000001</v>
      </c>
      <c r="T21" s="4">
        <f t="shared" si="3"/>
        <v>178288.1</v>
      </c>
    </row>
    <row r="23" spans="3:20">
      <c r="T23" s="1">
        <f>T21/P21-1+P38</f>
        <v>0.47181083615662511</v>
      </c>
    </row>
    <row r="24" spans="3:20">
      <c r="T24" s="1">
        <f>SUM(S21:T21)/SUM(O21:P21)-1</f>
        <v>0.48833141414841252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5"/>
  <sheetViews>
    <sheetView topLeftCell="L32" workbookViewId="0">
      <selection activeCell="L32" sqref="A1:XFD1048576"/>
    </sheetView>
  </sheetViews>
  <sheetFormatPr baseColWidth="10" defaultColWidth="17.1640625" defaultRowHeight="12.75" customHeight="1" outlineLevelCol="1" x14ac:dyDescent="0"/>
  <cols>
    <col min="1" max="1" width="17.1640625" style="168" hidden="1" customWidth="1" outlineLevel="1"/>
    <col min="2" max="2" width="17.1640625" style="168" customWidth="1" collapsed="1"/>
    <col min="3" max="21" width="17.1640625" style="168" customWidth="1"/>
    <col min="22" max="16384" width="17.1640625" style="168"/>
  </cols>
  <sheetData>
    <row r="1" spans="1:30" ht="12">
      <c r="A1" s="167"/>
      <c r="B1" s="167"/>
      <c r="C1" s="167" t="s">
        <v>345</v>
      </c>
      <c r="D1" s="167" t="s">
        <v>346</v>
      </c>
      <c r="E1" s="167" t="s">
        <v>347</v>
      </c>
      <c r="F1" s="167" t="s">
        <v>348</v>
      </c>
      <c r="G1" s="167" t="s">
        <v>345</v>
      </c>
      <c r="H1" s="167" t="s">
        <v>5</v>
      </c>
      <c r="I1" s="167" t="s">
        <v>6</v>
      </c>
      <c r="J1" s="167" t="s">
        <v>7</v>
      </c>
      <c r="K1" s="167" t="s">
        <v>8</v>
      </c>
      <c r="L1" s="167" t="s">
        <v>9</v>
      </c>
      <c r="M1" s="167" t="s">
        <v>10</v>
      </c>
      <c r="N1" s="167" t="s">
        <v>11</v>
      </c>
      <c r="O1" s="167" t="s">
        <v>12</v>
      </c>
      <c r="P1" s="167" t="s">
        <v>13</v>
      </c>
      <c r="Q1" s="167" t="s">
        <v>14</v>
      </c>
      <c r="R1" s="167" t="s">
        <v>15</v>
      </c>
      <c r="S1" s="167" t="s">
        <v>16</v>
      </c>
      <c r="T1" s="167" t="s">
        <v>17</v>
      </c>
      <c r="U1" s="167" t="s">
        <v>18</v>
      </c>
      <c r="V1" s="167" t="s">
        <v>19</v>
      </c>
      <c r="W1" s="167" t="s">
        <v>20</v>
      </c>
      <c r="X1" s="167" t="s">
        <v>21</v>
      </c>
      <c r="Y1" s="168" t="s">
        <v>187</v>
      </c>
      <c r="Z1" s="168" t="s">
        <v>23</v>
      </c>
      <c r="AA1" s="168" t="s">
        <v>24</v>
      </c>
      <c r="AB1" s="168" t="s">
        <v>25</v>
      </c>
      <c r="AC1" s="168" t="s">
        <v>26</v>
      </c>
      <c r="AD1" s="168" t="s">
        <v>27</v>
      </c>
    </row>
    <row r="2" spans="1:30" ht="12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</row>
    <row r="3" spans="1:30" ht="12" hidden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70"/>
      <c r="N3" s="170"/>
      <c r="O3" s="170"/>
      <c r="P3" s="170"/>
      <c r="Q3" s="170"/>
      <c r="R3" s="170"/>
      <c r="S3" s="170"/>
      <c r="T3" s="170"/>
      <c r="U3" s="167"/>
    </row>
    <row r="4" spans="1:30" ht="12">
      <c r="A4" s="171" t="s">
        <v>49</v>
      </c>
      <c r="B4" s="169" t="s">
        <v>349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72">
        <v>2.5000000000000001E-2</v>
      </c>
      <c r="N4" s="172">
        <v>5.2000000000000005E-2</v>
      </c>
      <c r="O4" s="172">
        <v>0.09</v>
      </c>
      <c r="P4" s="172">
        <v>0.14899999999999999</v>
      </c>
      <c r="Q4" s="172">
        <v>0.214</v>
      </c>
      <c r="R4" s="172">
        <v>0.28699999999999998</v>
      </c>
      <c r="S4" s="172">
        <v>0.34700000000000003</v>
      </c>
      <c r="T4" s="172">
        <v>0.40100000000000002</v>
      </c>
      <c r="U4" s="172">
        <v>0.44799999999999995</v>
      </c>
      <c r="V4" s="172">
        <v>0.47299999999999998</v>
      </c>
      <c r="W4" s="172">
        <v>0.51</v>
      </c>
      <c r="X4" s="172">
        <v>0.51600000000000001</v>
      </c>
      <c r="Y4" s="172">
        <v>0.52500000000000002</v>
      </c>
    </row>
    <row r="5" spans="1:30" ht="12">
      <c r="A5" s="169" t="s">
        <v>350</v>
      </c>
      <c r="B5" s="171" t="s">
        <v>49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3">
        <v>0.24100000000000002</v>
      </c>
      <c r="N5" s="173">
        <v>0.253</v>
      </c>
      <c r="O5" s="173">
        <v>0.254</v>
      </c>
      <c r="P5" s="173">
        <v>0.24299999999999999</v>
      </c>
      <c r="Q5" s="173">
        <v>0.24299999999999999</v>
      </c>
      <c r="R5" s="173">
        <v>0.25</v>
      </c>
      <c r="S5" s="173">
        <v>0.255</v>
      </c>
      <c r="T5" s="173">
        <v>0.26600000000000001</v>
      </c>
      <c r="U5" s="174">
        <v>0.27399999999999997</v>
      </c>
      <c r="V5" s="173">
        <v>0.29600000000000004</v>
      </c>
      <c r="W5" s="173">
        <v>0.307</v>
      </c>
      <c r="X5" s="173">
        <v>0.32400000000000001</v>
      </c>
      <c r="Y5" s="173">
        <v>0.34299999999999997</v>
      </c>
    </row>
    <row r="6" spans="1:30" ht="12">
      <c r="A6" s="169" t="s">
        <v>351</v>
      </c>
      <c r="B6" s="169" t="s">
        <v>29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72">
        <v>0.42599999999999999</v>
      </c>
      <c r="N6" s="172">
        <v>0.41600000000000004</v>
      </c>
      <c r="O6" s="172">
        <v>0.42100000000000004</v>
      </c>
      <c r="P6" s="172">
        <v>0.40100000000000002</v>
      </c>
      <c r="Q6" s="172">
        <v>0.373</v>
      </c>
      <c r="R6" s="172">
        <v>0.316</v>
      </c>
      <c r="S6" s="172">
        <v>0.27100000000000002</v>
      </c>
      <c r="T6" s="172">
        <v>0.23399999999999999</v>
      </c>
      <c r="U6" s="174">
        <v>0.18899999999999997</v>
      </c>
      <c r="V6" s="172">
        <v>0.16</v>
      </c>
      <c r="W6" s="172">
        <v>0.123</v>
      </c>
      <c r="X6" s="172">
        <v>0.107</v>
      </c>
      <c r="Y6" s="172">
        <v>8.4000000000000005E-2</v>
      </c>
    </row>
    <row r="7" spans="1:30" ht="12">
      <c r="A7" s="169" t="s">
        <v>352</v>
      </c>
      <c r="B7" s="169" t="s">
        <v>353</v>
      </c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72">
        <v>0.19</v>
      </c>
      <c r="N7" s="172">
        <v>0.18</v>
      </c>
      <c r="O7" s="172">
        <v>0.151</v>
      </c>
      <c r="P7" s="172">
        <v>0.128</v>
      </c>
      <c r="Q7" s="172">
        <v>0.1</v>
      </c>
      <c r="R7" s="172">
        <v>8.4000000000000005E-2</v>
      </c>
      <c r="S7" s="172">
        <v>7.4999999999999997E-2</v>
      </c>
      <c r="T7" s="172">
        <v>5.7999999999999996E-2</v>
      </c>
      <c r="U7" s="174">
        <v>5.5999999999999994E-2</v>
      </c>
      <c r="V7" s="172">
        <v>4.7E-2</v>
      </c>
      <c r="W7" s="172">
        <v>3.9E-2</v>
      </c>
      <c r="X7" s="172">
        <v>3.7999999999999999E-2</v>
      </c>
      <c r="Y7" s="172">
        <v>3.6000000000000004E-2</v>
      </c>
    </row>
    <row r="8" spans="1:30" ht="12">
      <c r="A8" s="169"/>
      <c r="B8" s="169" t="s">
        <v>39</v>
      </c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72">
        <f t="shared" ref="M8:U8" si="0">1-SUM(M4,M5,M6,M7)</f>
        <v>0.1180000000000001</v>
      </c>
      <c r="N8" s="172">
        <f t="shared" si="0"/>
        <v>9.8999999999999977E-2</v>
      </c>
      <c r="O8" s="172">
        <f t="shared" si="0"/>
        <v>8.3999999999999964E-2</v>
      </c>
      <c r="P8" s="172">
        <f t="shared" si="0"/>
        <v>7.8999999999999959E-2</v>
      </c>
      <c r="Q8" s="172">
        <f t="shared" si="0"/>
        <v>7.0000000000000062E-2</v>
      </c>
      <c r="R8" s="172">
        <f t="shared" si="0"/>
        <v>6.3000000000000056E-2</v>
      </c>
      <c r="S8" s="172">
        <f t="shared" si="0"/>
        <v>5.1999999999999935E-2</v>
      </c>
      <c r="T8" s="172">
        <f t="shared" si="0"/>
        <v>4.0999999999999925E-2</v>
      </c>
      <c r="U8" s="172">
        <f t="shared" si="0"/>
        <v>3.300000000000014E-2</v>
      </c>
      <c r="V8" s="172">
        <v>1.4E-2</v>
      </c>
      <c r="W8" s="172">
        <v>1.4E-2</v>
      </c>
      <c r="X8" s="172">
        <v>8.9999999999999993E-3</v>
      </c>
      <c r="Y8" s="172">
        <f>1-SUM(Y4:Y7)</f>
        <v>1.2000000000000011E-2</v>
      </c>
    </row>
    <row r="9" spans="1:30" ht="12">
      <c r="A9" s="169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70"/>
      <c r="N9" s="170"/>
      <c r="O9" s="170"/>
      <c r="P9" s="170"/>
      <c r="Q9" s="170"/>
      <c r="R9" s="170"/>
      <c r="S9" s="170"/>
      <c r="T9" s="170"/>
      <c r="U9" s="175"/>
    </row>
    <row r="10" spans="1:30" ht="24">
      <c r="A10" s="169"/>
      <c r="B10" s="169" t="s">
        <v>354</v>
      </c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N10" s="168">
        <v>42.7</v>
      </c>
      <c r="O10" s="168">
        <v>45.4</v>
      </c>
      <c r="P10" s="168">
        <v>49.1</v>
      </c>
      <c r="Q10" s="168">
        <v>58.7</v>
      </c>
      <c r="R10" s="168">
        <v>63.2</v>
      </c>
      <c r="S10" s="168">
        <v>72.5</v>
      </c>
      <c r="T10" s="168">
        <v>78.5</v>
      </c>
      <c r="U10" s="168">
        <v>87.4</v>
      </c>
      <c r="V10" s="168">
        <v>97.9</v>
      </c>
      <c r="W10" s="168">
        <v>106</v>
      </c>
      <c r="X10" s="168">
        <v>110</v>
      </c>
      <c r="Y10" s="168">
        <v>119.3</v>
      </c>
      <c r="Z10" s="168">
        <v>125.9</v>
      </c>
      <c r="AA10" s="168">
        <v>136.69999999999999</v>
      </c>
      <c r="AB10" s="168">
        <v>142</v>
      </c>
      <c r="AC10" s="168">
        <v>147.9</v>
      </c>
      <c r="AD10" s="168">
        <v>156</v>
      </c>
    </row>
    <row r="11" spans="1:30" ht="24">
      <c r="A11" s="169"/>
      <c r="B11" s="169" t="s">
        <v>355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N11" s="168">
        <v>234</v>
      </c>
      <c r="O11" s="168">
        <v>234</v>
      </c>
      <c r="P11" s="168">
        <v>234</v>
      </c>
      <c r="Q11" s="168">
        <v>234</v>
      </c>
      <c r="R11" s="168">
        <v>234</v>
      </c>
      <c r="S11" s="168">
        <v>234</v>
      </c>
      <c r="T11" s="168">
        <v>234</v>
      </c>
      <c r="U11" s="168">
        <v>234</v>
      </c>
      <c r="V11" s="168">
        <v>234</v>
      </c>
      <c r="W11" s="168">
        <v>234</v>
      </c>
      <c r="X11" s="168">
        <v>234</v>
      </c>
      <c r="Y11" s="168">
        <v>234</v>
      </c>
      <c r="Z11" s="168">
        <v>234</v>
      </c>
      <c r="AA11" s="168">
        <v>234</v>
      </c>
      <c r="AB11" s="168">
        <v>234</v>
      </c>
    </row>
    <row r="12" spans="1:30" ht="12">
      <c r="A12" s="169"/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</row>
    <row r="13" spans="1:30" ht="12">
      <c r="A13" s="169"/>
      <c r="B13" s="169" t="s">
        <v>349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N13" s="176">
        <f t="shared" ref="N13:Y17" si="1">N4*N$10</f>
        <v>2.2204000000000002</v>
      </c>
      <c r="O13" s="176">
        <f t="shared" si="1"/>
        <v>4.0859999999999994</v>
      </c>
      <c r="P13" s="176">
        <f t="shared" si="1"/>
        <v>7.3159000000000001</v>
      </c>
      <c r="Q13" s="176">
        <f t="shared" si="1"/>
        <v>12.5618</v>
      </c>
      <c r="R13" s="176">
        <f t="shared" si="1"/>
        <v>18.138400000000001</v>
      </c>
      <c r="S13" s="176">
        <f t="shared" si="1"/>
        <v>25.157500000000002</v>
      </c>
      <c r="T13" s="176">
        <f t="shared" si="1"/>
        <v>31.4785</v>
      </c>
      <c r="U13" s="176">
        <f t="shared" si="1"/>
        <v>39.155200000000001</v>
      </c>
      <c r="V13" s="176">
        <f t="shared" si="1"/>
        <v>46.306699999999999</v>
      </c>
      <c r="W13" s="176">
        <f t="shared" si="1"/>
        <v>54.06</v>
      </c>
      <c r="X13" s="176">
        <f t="shared" si="1"/>
        <v>56.760000000000005</v>
      </c>
      <c r="Y13" s="176">
        <f t="shared" si="1"/>
        <v>62.6325</v>
      </c>
    </row>
    <row r="14" spans="1:30" ht="12">
      <c r="A14" s="169"/>
      <c r="B14" s="171" t="s">
        <v>49</v>
      </c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N14" s="176">
        <f t="shared" si="1"/>
        <v>10.803100000000001</v>
      </c>
      <c r="O14" s="176">
        <f t="shared" si="1"/>
        <v>11.531599999999999</v>
      </c>
      <c r="P14" s="176">
        <f t="shared" si="1"/>
        <v>11.9313</v>
      </c>
      <c r="Q14" s="176">
        <f t="shared" si="1"/>
        <v>14.264100000000001</v>
      </c>
      <c r="R14" s="176">
        <f t="shared" si="1"/>
        <v>15.8</v>
      </c>
      <c r="S14" s="176">
        <f t="shared" si="1"/>
        <v>18.487500000000001</v>
      </c>
      <c r="T14" s="176">
        <f t="shared" si="1"/>
        <v>20.881</v>
      </c>
      <c r="U14" s="176">
        <f t="shared" si="1"/>
        <v>23.947599999999998</v>
      </c>
      <c r="V14" s="176">
        <f t="shared" si="1"/>
        <v>28.978400000000004</v>
      </c>
      <c r="W14" s="176">
        <f t="shared" si="1"/>
        <v>32.542000000000002</v>
      </c>
      <c r="X14" s="176">
        <f t="shared" si="1"/>
        <v>35.64</v>
      </c>
      <c r="Y14" s="176">
        <f t="shared" si="1"/>
        <v>40.919899999999998</v>
      </c>
    </row>
    <row r="15" spans="1:30" ht="12">
      <c r="A15" s="169"/>
      <c r="B15" s="169" t="s">
        <v>29</v>
      </c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N15" s="176">
        <f t="shared" si="1"/>
        <v>17.763200000000001</v>
      </c>
      <c r="O15" s="176">
        <f t="shared" si="1"/>
        <v>19.113400000000002</v>
      </c>
      <c r="P15" s="176">
        <f t="shared" si="1"/>
        <v>19.689100000000003</v>
      </c>
      <c r="Q15" s="176">
        <f t="shared" si="1"/>
        <v>21.895099999999999</v>
      </c>
      <c r="R15" s="176">
        <f t="shared" si="1"/>
        <v>19.9712</v>
      </c>
      <c r="S15" s="176">
        <f t="shared" si="1"/>
        <v>19.647500000000001</v>
      </c>
      <c r="T15" s="176">
        <f t="shared" si="1"/>
        <v>18.369</v>
      </c>
      <c r="U15" s="176">
        <f t="shared" si="1"/>
        <v>16.518599999999999</v>
      </c>
      <c r="V15" s="176">
        <f t="shared" si="1"/>
        <v>15.664000000000001</v>
      </c>
      <c r="W15" s="176">
        <f t="shared" si="1"/>
        <v>13.038</v>
      </c>
      <c r="X15" s="176">
        <f t="shared" si="1"/>
        <v>11.77</v>
      </c>
      <c r="Y15" s="176">
        <f t="shared" si="1"/>
        <v>10.0212</v>
      </c>
    </row>
    <row r="16" spans="1:30" ht="12">
      <c r="A16" s="169"/>
      <c r="B16" s="169" t="s">
        <v>353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70"/>
      <c r="N16" s="176">
        <f t="shared" si="1"/>
        <v>7.6859999999999999</v>
      </c>
      <c r="O16" s="176">
        <f t="shared" si="1"/>
        <v>6.8553999999999995</v>
      </c>
      <c r="P16" s="176">
        <f t="shared" si="1"/>
        <v>6.2848000000000006</v>
      </c>
      <c r="Q16" s="176">
        <f t="shared" si="1"/>
        <v>5.870000000000001</v>
      </c>
      <c r="R16" s="176">
        <f t="shared" si="1"/>
        <v>5.3088000000000006</v>
      </c>
      <c r="S16" s="176">
        <f t="shared" si="1"/>
        <v>5.4375</v>
      </c>
      <c r="T16" s="176">
        <f t="shared" si="1"/>
        <v>4.5529999999999999</v>
      </c>
      <c r="U16" s="176">
        <f t="shared" si="1"/>
        <v>4.8944000000000001</v>
      </c>
      <c r="V16" s="176">
        <f t="shared" si="1"/>
        <v>4.6013000000000002</v>
      </c>
      <c r="W16" s="176">
        <f t="shared" si="1"/>
        <v>4.1340000000000003</v>
      </c>
      <c r="X16" s="176">
        <f t="shared" si="1"/>
        <v>4.18</v>
      </c>
      <c r="Y16" s="176">
        <f t="shared" si="1"/>
        <v>4.2948000000000004</v>
      </c>
    </row>
    <row r="17" spans="1:25" ht="12">
      <c r="A17" s="169"/>
      <c r="B17" s="169" t="s">
        <v>39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70"/>
      <c r="N17" s="176">
        <f t="shared" si="1"/>
        <v>4.2272999999999996</v>
      </c>
      <c r="O17" s="176">
        <f t="shared" si="1"/>
        <v>3.8135999999999983</v>
      </c>
      <c r="P17" s="176">
        <f t="shared" si="1"/>
        <v>3.878899999999998</v>
      </c>
      <c r="Q17" s="176">
        <f t="shared" si="1"/>
        <v>4.1090000000000035</v>
      </c>
      <c r="R17" s="176">
        <f t="shared" si="1"/>
        <v>3.9816000000000038</v>
      </c>
      <c r="S17" s="176">
        <f t="shared" si="1"/>
        <v>3.7699999999999951</v>
      </c>
      <c r="T17" s="176">
        <f t="shared" si="1"/>
        <v>3.2184999999999944</v>
      </c>
      <c r="U17" s="176">
        <f t="shared" si="1"/>
        <v>2.8842000000000123</v>
      </c>
      <c r="V17" s="176">
        <f t="shared" si="1"/>
        <v>1.3706</v>
      </c>
      <c r="W17" s="176">
        <f t="shared" si="1"/>
        <v>1.484</v>
      </c>
      <c r="X17" s="176">
        <f t="shared" si="1"/>
        <v>0.98999999999999988</v>
      </c>
      <c r="Y17" s="176">
        <f t="shared" si="1"/>
        <v>1.4316000000000013</v>
      </c>
    </row>
    <row r="18" spans="1:25" ht="12">
      <c r="A18" s="169"/>
      <c r="B18" s="169" t="s">
        <v>356</v>
      </c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70"/>
      <c r="N18" s="177">
        <f t="shared" ref="N18:Y18" si="2">N11-N10</f>
        <v>191.3</v>
      </c>
      <c r="O18" s="177">
        <f t="shared" si="2"/>
        <v>188.6</v>
      </c>
      <c r="P18" s="177">
        <f t="shared" si="2"/>
        <v>184.9</v>
      </c>
      <c r="Q18" s="177">
        <f t="shared" si="2"/>
        <v>175.3</v>
      </c>
      <c r="R18" s="177">
        <f t="shared" si="2"/>
        <v>170.8</v>
      </c>
      <c r="S18" s="177">
        <f t="shared" si="2"/>
        <v>161.5</v>
      </c>
      <c r="T18" s="177">
        <f t="shared" si="2"/>
        <v>155.5</v>
      </c>
      <c r="U18" s="177">
        <f t="shared" si="2"/>
        <v>146.6</v>
      </c>
      <c r="V18" s="177">
        <f t="shared" si="2"/>
        <v>136.1</v>
      </c>
      <c r="W18" s="177">
        <f t="shared" si="2"/>
        <v>128</v>
      </c>
      <c r="X18" s="177">
        <f t="shared" si="2"/>
        <v>124</v>
      </c>
      <c r="Y18" s="177">
        <f t="shared" si="2"/>
        <v>114.7</v>
      </c>
    </row>
    <row r="19" spans="1:25" ht="12">
      <c r="A19" s="169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70"/>
      <c r="N19" s="170"/>
      <c r="O19" s="170"/>
      <c r="P19" s="170"/>
      <c r="Q19" s="170"/>
      <c r="R19" s="170"/>
      <c r="S19" s="170"/>
      <c r="T19" s="170"/>
      <c r="U19" s="175"/>
    </row>
    <row r="20" spans="1:25" ht="12">
      <c r="A20" s="169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70"/>
      <c r="N20" s="170"/>
      <c r="O20" s="170"/>
      <c r="P20" s="170"/>
      <c r="Q20" s="170"/>
      <c r="R20" s="170"/>
      <c r="S20" s="170"/>
      <c r="T20" s="170"/>
      <c r="U20" s="175"/>
    </row>
    <row r="21" spans="1:25" ht="12">
      <c r="A21" s="169"/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70"/>
      <c r="N21" s="170"/>
      <c r="O21" s="170"/>
      <c r="P21" s="170"/>
      <c r="Q21" s="170"/>
      <c r="R21" s="170"/>
      <c r="S21" s="170"/>
      <c r="T21" s="170"/>
      <c r="U21" s="175"/>
    </row>
    <row r="22" spans="1:25" ht="12">
      <c r="A22" s="169"/>
      <c r="B22" s="169" t="s">
        <v>29</v>
      </c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70">
        <v>42.6</v>
      </c>
      <c r="N22" s="170">
        <v>41.6</v>
      </c>
      <c r="O22" s="170">
        <v>42.1</v>
      </c>
      <c r="P22" s="170">
        <v>40.1</v>
      </c>
      <c r="Q22" s="170">
        <v>37.299999999999997</v>
      </c>
      <c r="R22" s="170">
        <v>31.6</v>
      </c>
      <c r="S22" s="170">
        <v>27.1</v>
      </c>
      <c r="T22" s="170">
        <v>23.4</v>
      </c>
      <c r="U22" s="167"/>
    </row>
    <row r="23" spans="1:25" ht="12">
      <c r="A23" s="169"/>
      <c r="B23" s="171" t="s">
        <v>49</v>
      </c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8">
        <v>24.1</v>
      </c>
      <c r="N23" s="178">
        <v>25.3</v>
      </c>
      <c r="O23" s="178">
        <v>25.4</v>
      </c>
      <c r="P23" s="178">
        <v>24.3</v>
      </c>
      <c r="Q23" s="178">
        <v>24.3</v>
      </c>
      <c r="R23" s="178">
        <v>25</v>
      </c>
      <c r="S23" s="178">
        <v>25.5</v>
      </c>
      <c r="T23" s="178">
        <v>26.6</v>
      </c>
      <c r="U23" s="167"/>
    </row>
    <row r="24" spans="1:25" ht="12">
      <c r="A24" s="169"/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>
        <f t="shared" ref="M24:U24" si="3">M7/100</f>
        <v>1.9E-3</v>
      </c>
      <c r="N24" s="169">
        <f t="shared" si="3"/>
        <v>1.8E-3</v>
      </c>
      <c r="O24" s="169">
        <f t="shared" si="3"/>
        <v>1.5100000000000001E-3</v>
      </c>
      <c r="P24" s="169">
        <f t="shared" si="3"/>
        <v>1.2800000000000001E-3</v>
      </c>
      <c r="Q24" s="169">
        <f t="shared" si="3"/>
        <v>1E-3</v>
      </c>
      <c r="R24" s="169">
        <f t="shared" si="3"/>
        <v>8.4000000000000003E-4</v>
      </c>
      <c r="S24" s="169">
        <f t="shared" si="3"/>
        <v>7.5000000000000002E-4</v>
      </c>
      <c r="T24" s="169">
        <f t="shared" si="3"/>
        <v>5.8E-4</v>
      </c>
      <c r="U24" s="169">
        <f t="shared" si="3"/>
        <v>5.5999999999999995E-4</v>
      </c>
    </row>
    <row r="25" spans="1:25" ht="12">
      <c r="A25" s="169"/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</row>
    <row r="26" spans="1:25" ht="12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</row>
    <row r="27" spans="1:25" ht="12">
      <c r="A27" s="167"/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</row>
    <row r="28" spans="1:25" ht="12">
      <c r="A28" s="167"/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</row>
    <row r="29" spans="1:25" ht="12">
      <c r="A29" s="179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</row>
    <row r="30" spans="1:25" ht="1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</row>
    <row r="31" spans="1:25" ht="12">
      <c r="A31" s="167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>
        <f>N10/N11</f>
        <v>0.1824786324786325</v>
      </c>
      <c r="O31" s="167"/>
      <c r="P31" s="167"/>
      <c r="Q31" s="167"/>
      <c r="R31" s="167"/>
      <c r="S31" s="167"/>
      <c r="T31" s="167"/>
      <c r="U31" s="167"/>
    </row>
    <row r="32" spans="1:25" ht="12">
      <c r="A32" s="167"/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</row>
    <row r="33" spans="1:30" ht="12">
      <c r="A33" s="167"/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</row>
    <row r="34" spans="1:30" ht="12">
      <c r="A34" s="167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</row>
    <row r="35" spans="1:30" ht="12">
      <c r="A35" s="167"/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</row>
    <row r="36" spans="1:30" s="176" customFormat="1" ht="12">
      <c r="A36" s="180"/>
      <c r="B36" s="180"/>
      <c r="C36" s="180">
        <f t="shared" ref="C36:M36" si="4">234*C37</f>
        <v>11.232000000000001</v>
      </c>
      <c r="D36" s="180">
        <f t="shared" si="4"/>
        <v>14.2155</v>
      </c>
      <c r="E36" s="180">
        <f t="shared" si="4"/>
        <v>17.199000000000002</v>
      </c>
      <c r="F36" s="180">
        <f t="shared" si="4"/>
        <v>21.177000000000003</v>
      </c>
      <c r="G36" s="180">
        <f t="shared" si="4"/>
        <v>23.166</v>
      </c>
      <c r="H36" s="180">
        <f t="shared" si="4"/>
        <v>24.102</v>
      </c>
      <c r="I36" s="180">
        <f t="shared" si="4"/>
        <v>29.952000000000002</v>
      </c>
      <c r="J36" s="180">
        <f t="shared" si="4"/>
        <v>33.93</v>
      </c>
      <c r="K36" s="180">
        <f t="shared" si="4"/>
        <v>37.44</v>
      </c>
      <c r="L36" s="180">
        <f t="shared" si="4"/>
        <v>39.545999999999999</v>
      </c>
      <c r="M36" s="180">
        <f t="shared" si="4"/>
        <v>41.123000000000005</v>
      </c>
      <c r="N36" s="180">
        <f t="shared" ref="N36:AA36" si="5">N10</f>
        <v>42.7</v>
      </c>
      <c r="O36" s="180">
        <f t="shared" si="5"/>
        <v>45.4</v>
      </c>
      <c r="P36" s="180">
        <f t="shared" si="5"/>
        <v>49.1</v>
      </c>
      <c r="Q36" s="180">
        <f t="shared" si="5"/>
        <v>58.7</v>
      </c>
      <c r="R36" s="180">
        <f t="shared" si="5"/>
        <v>63.2</v>
      </c>
      <c r="S36" s="180">
        <f t="shared" si="5"/>
        <v>72.5</v>
      </c>
      <c r="T36" s="180">
        <f t="shared" si="5"/>
        <v>78.5</v>
      </c>
      <c r="U36" s="180">
        <f t="shared" si="5"/>
        <v>87.4</v>
      </c>
      <c r="V36" s="180">
        <f t="shared" si="5"/>
        <v>97.9</v>
      </c>
      <c r="W36" s="180">
        <f t="shared" si="5"/>
        <v>106</v>
      </c>
      <c r="X36" s="180">
        <f t="shared" si="5"/>
        <v>110</v>
      </c>
      <c r="Y36" s="180">
        <f t="shared" si="5"/>
        <v>119.3</v>
      </c>
      <c r="Z36" s="180">
        <f t="shared" si="5"/>
        <v>125.9</v>
      </c>
      <c r="AA36" s="180">
        <f t="shared" si="5"/>
        <v>136.69999999999999</v>
      </c>
      <c r="AB36" s="176">
        <v>142</v>
      </c>
      <c r="AC36" s="176">
        <v>147.9</v>
      </c>
      <c r="AD36" s="176">
        <v>156</v>
      </c>
    </row>
    <row r="37" spans="1:30" s="182" customFormat="1" ht="12">
      <c r="A37" s="174"/>
      <c r="B37" s="174"/>
      <c r="C37" s="174">
        <v>4.8000000000000001E-2</v>
      </c>
      <c r="D37" s="174">
        <f>AVERAGE(C37,E37)</f>
        <v>6.0750000000000005E-2</v>
      </c>
      <c r="E37" s="174">
        <f>AVERAGE(C37,G37)</f>
        <v>7.350000000000001E-2</v>
      </c>
      <c r="F37" s="174">
        <f>AVERAGE(E37,G37,G37)</f>
        <v>9.0500000000000011E-2</v>
      </c>
      <c r="G37" s="174">
        <v>9.9000000000000005E-2</v>
      </c>
      <c r="H37" s="174">
        <v>0.10299999999999999</v>
      </c>
      <c r="I37" s="174">
        <v>0.128</v>
      </c>
      <c r="J37" s="174">
        <v>0.14499999999999999</v>
      </c>
      <c r="K37" s="174">
        <v>0.16</v>
      </c>
      <c r="L37" s="174">
        <v>0.16900000000000001</v>
      </c>
      <c r="M37" s="174">
        <f>AVERAGE(L37,N37)</f>
        <v>0.17573931623931627</v>
      </c>
      <c r="N37" s="181">
        <f t="shared" ref="N37:AA37" si="6">N36/234</f>
        <v>0.1824786324786325</v>
      </c>
      <c r="O37" s="174">
        <f t="shared" si="6"/>
        <v>0.19401709401709402</v>
      </c>
      <c r="P37" s="174">
        <f t="shared" si="6"/>
        <v>0.20982905982905983</v>
      </c>
      <c r="Q37" s="174">
        <f t="shared" si="6"/>
        <v>0.25085470085470085</v>
      </c>
      <c r="R37" s="174">
        <f t="shared" si="6"/>
        <v>0.27008547008547013</v>
      </c>
      <c r="S37" s="174">
        <f t="shared" si="6"/>
        <v>0.30982905982905984</v>
      </c>
      <c r="T37" s="174">
        <f t="shared" si="6"/>
        <v>0.33547008547008544</v>
      </c>
      <c r="U37" s="174">
        <f t="shared" si="6"/>
        <v>0.37350427350427351</v>
      </c>
      <c r="V37" s="174">
        <f t="shared" si="6"/>
        <v>0.41837606837606839</v>
      </c>
      <c r="W37" s="174">
        <f t="shared" si="6"/>
        <v>0.45299145299145299</v>
      </c>
      <c r="X37" s="174">
        <f t="shared" si="6"/>
        <v>0.47008547008547008</v>
      </c>
      <c r="Y37" s="174">
        <f t="shared" si="6"/>
        <v>0.50982905982905979</v>
      </c>
      <c r="Z37" s="174">
        <f t="shared" si="6"/>
        <v>0.53803418803418801</v>
      </c>
      <c r="AA37" s="174">
        <f t="shared" si="6"/>
        <v>0.58418803418803411</v>
      </c>
      <c r="AB37" s="182">
        <v>0.59</v>
      </c>
      <c r="AC37" s="182">
        <v>0.62</v>
      </c>
      <c r="AD37" s="182">
        <v>0.65200000000000002</v>
      </c>
    </row>
    <row r="38" spans="1:30" ht="12">
      <c r="A38" s="167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83">
        <f t="shared" ref="N38:AD38" si="7">N37-J37</f>
        <v>3.7478632478632506E-2</v>
      </c>
      <c r="O38" s="183">
        <f t="shared" si="7"/>
        <v>3.4017094017094018E-2</v>
      </c>
      <c r="P38" s="183">
        <f t="shared" si="7"/>
        <v>4.0829059829059822E-2</v>
      </c>
      <c r="Q38" s="183">
        <f t="shared" si="7"/>
        <v>7.5115384615384584E-2</v>
      </c>
      <c r="R38" s="183">
        <f t="shared" si="7"/>
        <v>8.7606837606837629E-2</v>
      </c>
      <c r="S38" s="183">
        <f t="shared" si="7"/>
        <v>0.11581196581196582</v>
      </c>
      <c r="T38" s="183">
        <f t="shared" si="7"/>
        <v>0.12564102564102561</v>
      </c>
      <c r="U38" s="183">
        <f t="shared" si="7"/>
        <v>0.12264957264957266</v>
      </c>
      <c r="V38" s="183">
        <f t="shared" si="7"/>
        <v>0.14829059829059826</v>
      </c>
      <c r="W38" s="183">
        <f t="shared" si="7"/>
        <v>0.14316239316239315</v>
      </c>
      <c r="X38" s="183">
        <f t="shared" si="7"/>
        <v>0.13461538461538464</v>
      </c>
      <c r="Y38" s="183">
        <f t="shared" si="7"/>
        <v>0.13632478632478628</v>
      </c>
      <c r="Z38" s="183">
        <f t="shared" si="7"/>
        <v>0.11965811965811962</v>
      </c>
      <c r="AA38" s="183">
        <f t="shared" si="7"/>
        <v>0.13119658119658112</v>
      </c>
      <c r="AB38" s="183">
        <f t="shared" si="7"/>
        <v>0.11991452991452989</v>
      </c>
      <c r="AC38" s="183">
        <f t="shared" si="7"/>
        <v>0.1101709401709402</v>
      </c>
      <c r="AD38" s="183">
        <f t="shared" si="7"/>
        <v>0.11396581196581201</v>
      </c>
    </row>
    <row r="39" spans="1:30" ht="12">
      <c r="A39" s="167"/>
      <c r="B39" s="167"/>
      <c r="C39" s="167"/>
      <c r="D39" s="167"/>
      <c r="E39" s="167"/>
      <c r="F39" s="167"/>
      <c r="G39" s="180">
        <f t="shared" ref="G39:AD39" si="8">G36-C36</f>
        <v>11.933999999999999</v>
      </c>
      <c r="H39" s="180">
        <f t="shared" si="8"/>
        <v>9.8864999999999998</v>
      </c>
      <c r="I39" s="180">
        <f t="shared" si="8"/>
        <v>12.753</v>
      </c>
      <c r="J39" s="180">
        <f t="shared" si="8"/>
        <v>12.752999999999997</v>
      </c>
      <c r="K39" s="180">
        <f t="shared" si="8"/>
        <v>14.273999999999997</v>
      </c>
      <c r="L39" s="180">
        <f t="shared" si="8"/>
        <v>15.443999999999999</v>
      </c>
      <c r="M39" s="180">
        <f t="shared" si="8"/>
        <v>11.171000000000003</v>
      </c>
      <c r="N39" s="180">
        <f t="shared" si="8"/>
        <v>8.7700000000000031</v>
      </c>
      <c r="O39" s="180">
        <f t="shared" si="8"/>
        <v>7.9600000000000009</v>
      </c>
      <c r="P39" s="180">
        <f t="shared" si="8"/>
        <v>9.554000000000002</v>
      </c>
      <c r="Q39" s="180">
        <f t="shared" si="8"/>
        <v>17.576999999999998</v>
      </c>
      <c r="R39" s="180">
        <f t="shared" si="8"/>
        <v>20.5</v>
      </c>
      <c r="S39" s="180">
        <f t="shared" si="8"/>
        <v>27.1</v>
      </c>
      <c r="T39" s="180">
        <f t="shared" si="8"/>
        <v>29.4</v>
      </c>
      <c r="U39" s="180">
        <f t="shared" si="8"/>
        <v>28.700000000000003</v>
      </c>
      <c r="V39" s="180">
        <f t="shared" si="8"/>
        <v>34.700000000000003</v>
      </c>
      <c r="W39" s="180">
        <f t="shared" si="8"/>
        <v>33.5</v>
      </c>
      <c r="X39" s="180">
        <f t="shared" si="8"/>
        <v>31.5</v>
      </c>
      <c r="Y39" s="180">
        <f t="shared" si="8"/>
        <v>31.899999999999991</v>
      </c>
      <c r="Z39" s="180">
        <f t="shared" si="8"/>
        <v>28</v>
      </c>
      <c r="AA39" s="180">
        <f t="shared" si="8"/>
        <v>30.699999999999989</v>
      </c>
      <c r="AB39" s="180">
        <f t="shared" si="8"/>
        <v>32</v>
      </c>
      <c r="AC39" s="180">
        <f t="shared" si="8"/>
        <v>28.600000000000009</v>
      </c>
      <c r="AD39" s="180">
        <f t="shared" si="8"/>
        <v>30.099999999999994</v>
      </c>
    </row>
    <row r="40" spans="1:30" ht="12">
      <c r="A40" s="167"/>
      <c r="B40" s="167"/>
      <c r="C40" s="167"/>
      <c r="D40" s="176">
        <f t="shared" ref="D40:AD40" si="9">D36-C36</f>
        <v>2.9834999999999994</v>
      </c>
      <c r="E40" s="176">
        <f t="shared" si="9"/>
        <v>2.9835000000000012</v>
      </c>
      <c r="F40" s="176">
        <f t="shared" si="9"/>
        <v>3.9780000000000015</v>
      </c>
      <c r="G40" s="176">
        <f t="shared" si="9"/>
        <v>1.9889999999999972</v>
      </c>
      <c r="H40" s="176">
        <f t="shared" si="9"/>
        <v>0.93599999999999994</v>
      </c>
      <c r="I40" s="176">
        <f t="shared" si="9"/>
        <v>5.8500000000000014</v>
      </c>
      <c r="J40" s="176">
        <f t="shared" si="9"/>
        <v>3.977999999999998</v>
      </c>
      <c r="K40" s="176">
        <f t="shared" si="9"/>
        <v>3.509999999999998</v>
      </c>
      <c r="L40" s="176">
        <f t="shared" si="9"/>
        <v>2.1060000000000016</v>
      </c>
      <c r="M40" s="176">
        <f t="shared" si="9"/>
        <v>1.5770000000000053</v>
      </c>
      <c r="N40" s="176">
        <f t="shared" si="9"/>
        <v>1.5769999999999982</v>
      </c>
      <c r="O40" s="176">
        <f t="shared" si="9"/>
        <v>2.6999999999999957</v>
      </c>
      <c r="P40" s="176">
        <f t="shared" si="9"/>
        <v>3.7000000000000028</v>
      </c>
      <c r="Q40" s="176">
        <f t="shared" si="9"/>
        <v>9.6000000000000014</v>
      </c>
      <c r="R40" s="176">
        <f t="shared" si="9"/>
        <v>4.5</v>
      </c>
      <c r="S40" s="176">
        <f t="shared" si="9"/>
        <v>9.2999999999999972</v>
      </c>
      <c r="T40" s="176">
        <f t="shared" si="9"/>
        <v>6</v>
      </c>
      <c r="U40" s="176">
        <f t="shared" si="9"/>
        <v>8.9000000000000057</v>
      </c>
      <c r="V40" s="176">
        <f t="shared" si="9"/>
        <v>10.5</v>
      </c>
      <c r="W40" s="176">
        <f t="shared" si="9"/>
        <v>8.0999999999999943</v>
      </c>
      <c r="X40" s="176">
        <f t="shared" si="9"/>
        <v>4</v>
      </c>
      <c r="Y40" s="176">
        <f t="shared" si="9"/>
        <v>9.2999999999999972</v>
      </c>
      <c r="Z40" s="176">
        <f t="shared" si="9"/>
        <v>6.6000000000000085</v>
      </c>
      <c r="AA40" s="176">
        <f t="shared" si="9"/>
        <v>10.799999999999983</v>
      </c>
      <c r="AB40" s="176">
        <f t="shared" si="9"/>
        <v>5.3000000000000114</v>
      </c>
      <c r="AC40" s="176">
        <f t="shared" si="9"/>
        <v>5.9000000000000057</v>
      </c>
      <c r="AD40" s="176">
        <f t="shared" si="9"/>
        <v>8.0999999999999943</v>
      </c>
    </row>
    <row r="41" spans="1:30" ht="12">
      <c r="A41" s="167"/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AC41" s="184"/>
      <c r="AD41" s="184"/>
    </row>
    <row r="42" spans="1:30" ht="12">
      <c r="A42" s="167"/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</row>
    <row r="43" spans="1:30" ht="12">
      <c r="A43" s="167"/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</row>
    <row r="44" spans="1:30" ht="12">
      <c r="A44" s="167"/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</row>
    <row r="45" spans="1:30" ht="12">
      <c r="A45" s="167"/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</row>
    <row r="46" spans="1:30" ht="12">
      <c r="A46" s="167"/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</row>
    <row r="47" spans="1:30" ht="12">
      <c r="A47" s="167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</row>
    <row r="48" spans="1:30" ht="12">
      <c r="A48" s="167"/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</row>
    <row r="49" spans="1:21" ht="12">
      <c r="A49" s="167"/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</row>
    <row r="50" spans="1:21" ht="12">
      <c r="A50" s="167"/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</row>
    <row r="51" spans="1:21" ht="12">
      <c r="A51" s="167"/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</row>
    <row r="52" spans="1:21" ht="12">
      <c r="A52" s="167"/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</row>
    <row r="53" spans="1:21" ht="12">
      <c r="A53" s="167"/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</row>
    <row r="54" spans="1:21" ht="12">
      <c r="A54" s="167"/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</row>
    <row r="55" spans="1:21" ht="12">
      <c r="A55" s="167"/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</row>
    <row r="56" spans="1:21" ht="12">
      <c r="A56" s="167"/>
      <c r="B56" s="167"/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</row>
    <row r="57" spans="1:21" ht="12">
      <c r="A57" s="167"/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167"/>
    </row>
    <row r="58" spans="1:21" ht="12">
      <c r="A58" s="167"/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167"/>
    </row>
    <row r="59" spans="1:21" ht="12">
      <c r="A59" s="167"/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</row>
    <row r="60" spans="1:21" ht="12">
      <c r="A60" s="167"/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167"/>
      <c r="U60" s="167"/>
    </row>
    <row r="61" spans="1:21" ht="12">
      <c r="A61" s="167"/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</row>
    <row r="62" spans="1:21" ht="12">
      <c r="A62" s="167"/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</row>
    <row r="63" spans="1:21" ht="12">
      <c r="A63" s="167"/>
      <c r="B63" s="167"/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</row>
    <row r="64" spans="1:21" ht="12">
      <c r="A64" s="167"/>
      <c r="B64" s="167"/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</row>
    <row r="65" spans="1:21" ht="12">
      <c r="A65" s="167"/>
      <c r="B65" s="167"/>
      <c r="C65" s="167"/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167"/>
    </row>
    <row r="66" spans="1:21" ht="12">
      <c r="A66" s="167"/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167"/>
      <c r="U66" s="167"/>
    </row>
    <row r="67" spans="1:21" ht="12">
      <c r="A67" s="167"/>
      <c r="B67" s="167"/>
      <c r="C67" s="167"/>
      <c r="D67" s="167"/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167"/>
    </row>
    <row r="68" spans="1:21" ht="12">
      <c r="A68" s="167"/>
      <c r="B68" s="167"/>
      <c r="C68" s="167"/>
      <c r="D68" s="167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</row>
    <row r="69" spans="1:21" ht="12">
      <c r="A69" s="167"/>
      <c r="B69" s="167"/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</row>
    <row r="70" spans="1:21" ht="12">
      <c r="A70" s="167"/>
      <c r="B70" s="167"/>
      <c r="C70" s="167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167"/>
      <c r="U70" s="167"/>
    </row>
    <row r="71" spans="1:21" ht="12">
      <c r="A71" s="167"/>
      <c r="B71" s="167"/>
      <c r="C71" s="167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167"/>
      <c r="U71" s="167"/>
    </row>
    <row r="72" spans="1:21" ht="12">
      <c r="A72" s="167"/>
      <c r="B72" s="167"/>
      <c r="C72" s="167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167"/>
      <c r="U72" s="167"/>
    </row>
    <row r="73" spans="1:21" ht="12">
      <c r="A73" s="167"/>
      <c r="B73" s="167"/>
      <c r="C73" s="167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</row>
    <row r="74" spans="1:21" ht="12">
      <c r="A74" s="167"/>
      <c r="B74" s="167"/>
      <c r="C74" s="167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67"/>
      <c r="S74" s="167"/>
      <c r="T74" s="167"/>
      <c r="U74" s="167"/>
    </row>
    <row r="75" spans="1:21" ht="12">
      <c r="A75" s="167"/>
      <c r="B75" s="167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67"/>
    </row>
    <row r="76" spans="1:21" ht="12">
      <c r="A76" s="167"/>
      <c r="B76" s="167"/>
      <c r="C76" s="167"/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67"/>
    </row>
    <row r="77" spans="1:21" ht="12">
      <c r="A77" s="167"/>
      <c r="B77" s="167"/>
      <c r="C77" s="167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67"/>
    </row>
    <row r="78" spans="1:21" ht="12">
      <c r="A78" s="167"/>
      <c r="B78" s="167"/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</row>
    <row r="79" spans="1:21" ht="12">
      <c r="A79" s="167"/>
      <c r="B79" s="167"/>
      <c r="C79" s="167"/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  <c r="U79" s="167"/>
    </row>
    <row r="80" spans="1:21" ht="12">
      <c r="A80" s="167"/>
      <c r="B80" s="167"/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</row>
    <row r="81" spans="1:21" ht="12">
      <c r="A81" s="167"/>
      <c r="B81" s="167"/>
      <c r="C81" s="167"/>
      <c r="D81" s="167"/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67"/>
    </row>
    <row r="82" spans="1:21" ht="12">
      <c r="A82" s="167"/>
      <c r="B82" s="167"/>
      <c r="C82" s="167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67"/>
      <c r="S82" s="167"/>
      <c r="T82" s="167"/>
      <c r="U82" s="167"/>
    </row>
    <row r="83" spans="1:21" ht="12">
      <c r="A83" s="167"/>
      <c r="B83" s="167"/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/>
      <c r="T83" s="167"/>
      <c r="U83" s="167"/>
    </row>
    <row r="84" spans="1:21" ht="12">
      <c r="A84" s="167"/>
      <c r="B84" s="167"/>
      <c r="C84" s="167"/>
      <c r="D84" s="167"/>
      <c r="E84" s="167"/>
      <c r="F84" s="167"/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67"/>
      <c r="S84" s="167"/>
      <c r="T84" s="167"/>
      <c r="U84" s="167"/>
    </row>
    <row r="85" spans="1:21" ht="12">
      <c r="A85" s="167"/>
      <c r="B85" s="167"/>
      <c r="C85" s="167"/>
      <c r="D85" s="167"/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</row>
    <row r="86" spans="1:21" ht="12">
      <c r="A86" s="167"/>
      <c r="B86" s="167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7"/>
      <c r="Q86" s="167"/>
      <c r="R86" s="167"/>
      <c r="S86" s="167"/>
      <c r="T86" s="167"/>
      <c r="U86" s="167"/>
    </row>
    <row r="87" spans="1:21" ht="12">
      <c r="A87" s="167"/>
      <c r="B87" s="167"/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7"/>
      <c r="T87" s="167"/>
      <c r="U87" s="167"/>
    </row>
    <row r="88" spans="1:21" ht="12">
      <c r="A88" s="167"/>
      <c r="B88" s="167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7"/>
      <c r="T88" s="167"/>
      <c r="U88" s="167"/>
    </row>
    <row r="89" spans="1:21" ht="12">
      <c r="A89" s="167"/>
      <c r="B89" s="167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7"/>
      <c r="Q89" s="167"/>
      <c r="R89" s="167"/>
      <c r="S89" s="167"/>
      <c r="T89" s="167"/>
      <c r="U89" s="167"/>
    </row>
    <row r="90" spans="1:21" ht="12">
      <c r="A90" s="167"/>
      <c r="B90" s="167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7"/>
      <c r="S90" s="167"/>
      <c r="T90" s="167"/>
      <c r="U90" s="167"/>
    </row>
    <row r="91" spans="1:21" ht="12">
      <c r="A91" s="167"/>
      <c r="B91" s="167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  <c r="U91" s="167"/>
    </row>
    <row r="92" spans="1:21" ht="12">
      <c r="A92" s="167"/>
      <c r="B92" s="167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7"/>
      <c r="Q92" s="167"/>
      <c r="R92" s="167"/>
      <c r="S92" s="167"/>
      <c r="T92" s="167"/>
      <c r="U92" s="167"/>
    </row>
    <row r="93" spans="1:21" ht="12">
      <c r="A93" s="167"/>
      <c r="B93" s="167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7"/>
      <c r="T93" s="167"/>
      <c r="U93" s="167"/>
    </row>
    <row r="94" spans="1:21" ht="12">
      <c r="A94" s="167"/>
      <c r="B94" s="167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7"/>
      <c r="Q94" s="167"/>
      <c r="R94" s="167"/>
      <c r="S94" s="167"/>
      <c r="T94" s="167"/>
      <c r="U94" s="167"/>
    </row>
    <row r="95" spans="1:21" ht="12">
      <c r="A95" s="167"/>
      <c r="B95" s="167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7"/>
      <c r="Q95" s="167"/>
      <c r="R95" s="167"/>
      <c r="S95" s="167"/>
      <c r="T95" s="167"/>
      <c r="U95" s="167"/>
    </row>
    <row r="96" spans="1:21" ht="12">
      <c r="A96" s="167"/>
      <c r="B96" s="167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7"/>
      <c r="Q96" s="167"/>
      <c r="R96" s="167"/>
      <c r="S96" s="167"/>
      <c r="T96" s="167"/>
      <c r="U96" s="167"/>
    </row>
    <row r="97" spans="1:21" ht="12">
      <c r="A97" s="167"/>
      <c r="B97" s="167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7"/>
      <c r="Q97" s="167"/>
      <c r="R97" s="167"/>
      <c r="S97" s="167"/>
      <c r="T97" s="167"/>
      <c r="U97" s="167"/>
    </row>
    <row r="98" spans="1:21" ht="12">
      <c r="A98" s="167"/>
      <c r="B98" s="167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7"/>
      <c r="Q98" s="167"/>
      <c r="R98" s="167"/>
      <c r="S98" s="167"/>
      <c r="T98" s="167"/>
      <c r="U98" s="167"/>
    </row>
    <row r="99" spans="1:21" ht="12">
      <c r="A99" s="167"/>
      <c r="B99" s="167"/>
      <c r="C99" s="167"/>
      <c r="D99" s="167"/>
      <c r="E99" s="167"/>
      <c r="F99" s="167"/>
      <c r="G99" s="167"/>
      <c r="H99" s="167"/>
      <c r="I99" s="167"/>
      <c r="J99" s="167"/>
      <c r="K99" s="167"/>
      <c r="L99" s="167"/>
      <c r="M99" s="167"/>
      <c r="N99" s="167"/>
      <c r="O99" s="167"/>
      <c r="P99" s="167"/>
      <c r="Q99" s="167"/>
      <c r="R99" s="167"/>
      <c r="S99" s="167"/>
      <c r="T99" s="167"/>
      <c r="U99" s="167"/>
    </row>
    <row r="100" spans="1:21" ht="12">
      <c r="A100" s="167"/>
      <c r="B100" s="167"/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  <c r="O100" s="167"/>
      <c r="P100" s="167"/>
      <c r="Q100" s="167"/>
      <c r="R100" s="167"/>
      <c r="S100" s="167"/>
      <c r="T100" s="167"/>
      <c r="U100" s="167"/>
    </row>
    <row r="101" spans="1:21" ht="12">
      <c r="A101" s="167"/>
      <c r="B101" s="167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  <c r="O101" s="167"/>
      <c r="P101" s="167"/>
      <c r="Q101" s="167"/>
      <c r="R101" s="167"/>
      <c r="S101" s="167"/>
      <c r="T101" s="167"/>
      <c r="U101" s="167"/>
    </row>
    <row r="102" spans="1:21" ht="12">
      <c r="A102" s="167"/>
      <c r="B102" s="167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  <c r="O102" s="167"/>
      <c r="P102" s="167"/>
      <c r="Q102" s="167"/>
      <c r="R102" s="167"/>
      <c r="S102" s="167"/>
      <c r="T102" s="167"/>
      <c r="U102" s="167"/>
    </row>
    <row r="103" spans="1:21" ht="12">
      <c r="A103" s="167"/>
      <c r="B103" s="167"/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</row>
    <row r="104" spans="1:21" ht="12">
      <c r="A104" s="167"/>
      <c r="B104" s="167"/>
      <c r="C104" s="167"/>
      <c r="D104" s="167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</row>
    <row r="105" spans="1:21" ht="12">
      <c r="A105" s="167"/>
      <c r="B105" s="167"/>
      <c r="C105" s="167"/>
      <c r="D105" s="167"/>
      <c r="E105" s="167"/>
      <c r="F105" s="167"/>
      <c r="G105" s="167"/>
      <c r="H105" s="167"/>
      <c r="I105" s="167"/>
      <c r="J105" s="167"/>
      <c r="K105" s="167"/>
      <c r="L105" s="167"/>
      <c r="M105" s="167"/>
      <c r="N105" s="167"/>
      <c r="O105" s="167"/>
      <c r="P105" s="167"/>
      <c r="Q105" s="167"/>
      <c r="R105" s="167"/>
      <c r="S105" s="167"/>
      <c r="T105" s="167"/>
      <c r="U105" s="167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H17" sqref="H17"/>
    </sheetView>
  </sheetViews>
  <sheetFormatPr baseColWidth="10" defaultRowHeight="15" x14ac:dyDescent="0"/>
  <cols>
    <col min="1" max="1" width="28.33203125" customWidth="1"/>
    <col min="2" max="2" width="45.1640625" customWidth="1"/>
    <col min="3" max="3" width="35.5" customWidth="1"/>
    <col min="4" max="4" width="26.5" customWidth="1"/>
    <col min="5" max="5" width="26.6640625" customWidth="1"/>
  </cols>
  <sheetData>
    <row r="1" spans="1:5">
      <c r="A1" s="12" t="s">
        <v>374</v>
      </c>
      <c r="B1" s="12" t="s">
        <v>375</v>
      </c>
      <c r="C1" s="12" t="s">
        <v>376</v>
      </c>
      <c r="D1" s="12" t="s">
        <v>377</v>
      </c>
      <c r="E1" s="12" t="s">
        <v>378</v>
      </c>
    </row>
    <row r="2" spans="1:5">
      <c r="A2" s="81" t="s">
        <v>379</v>
      </c>
    </row>
    <row r="3" spans="1:5">
      <c r="A3" t="s">
        <v>380</v>
      </c>
      <c r="B3">
        <v>282.74</v>
      </c>
      <c r="C3">
        <v>215.93</v>
      </c>
      <c r="D3">
        <f t="shared" ref="D3:D13" si="0">B3-C3</f>
        <v>66.81</v>
      </c>
      <c r="E3" s="16">
        <f t="shared" ref="E3:E13" si="1">C3/B3</f>
        <v>0.76370517082832279</v>
      </c>
    </row>
    <row r="4" spans="1:5">
      <c r="A4" t="s">
        <v>381</v>
      </c>
      <c r="B4">
        <v>224.63</v>
      </c>
      <c r="C4">
        <v>207.54</v>
      </c>
      <c r="D4">
        <f t="shared" si="0"/>
        <v>17.090000000000003</v>
      </c>
      <c r="E4" s="16">
        <f t="shared" si="1"/>
        <v>0.92391933401593729</v>
      </c>
    </row>
    <row r="5" spans="1:5">
      <c r="A5" t="s">
        <v>382</v>
      </c>
      <c r="B5">
        <v>88.83</v>
      </c>
      <c r="C5">
        <v>47.5</v>
      </c>
      <c r="D5">
        <f t="shared" si="0"/>
        <v>41.33</v>
      </c>
      <c r="E5" s="16">
        <f t="shared" si="1"/>
        <v>0.53472925813351346</v>
      </c>
    </row>
    <row r="6" spans="1:5">
      <c r="A6" t="s">
        <v>383</v>
      </c>
      <c r="B6">
        <v>46.63</v>
      </c>
      <c r="C6">
        <v>38.19</v>
      </c>
      <c r="D6">
        <f t="shared" si="0"/>
        <v>8.4400000000000048</v>
      </c>
      <c r="E6" s="16">
        <f t="shared" si="1"/>
        <v>0.819000643362642</v>
      </c>
    </row>
    <row r="7" spans="1:5">
      <c r="A7" t="s">
        <v>384</v>
      </c>
      <c r="B7">
        <v>45.83</v>
      </c>
      <c r="C7">
        <v>40.19</v>
      </c>
      <c r="D7">
        <f t="shared" si="0"/>
        <v>5.6400000000000006</v>
      </c>
      <c r="E7" s="16">
        <f t="shared" si="1"/>
        <v>0.8769365044730526</v>
      </c>
    </row>
    <row r="8" spans="1:5">
      <c r="A8" t="s">
        <v>385</v>
      </c>
      <c r="B8">
        <v>31.43</v>
      </c>
      <c r="C8">
        <v>21.38</v>
      </c>
      <c r="D8">
        <f t="shared" si="0"/>
        <v>10.050000000000001</v>
      </c>
      <c r="E8" s="16">
        <f t="shared" si="1"/>
        <v>0.68024180719058225</v>
      </c>
    </row>
    <row r="9" spans="1:5">
      <c r="A9" t="s">
        <v>386</v>
      </c>
      <c r="B9">
        <v>30.39</v>
      </c>
      <c r="C9">
        <v>22.91</v>
      </c>
      <c r="D9">
        <f t="shared" si="0"/>
        <v>7.48</v>
      </c>
      <c r="E9" s="16">
        <f t="shared" si="1"/>
        <v>0.75386640342217837</v>
      </c>
    </row>
    <row r="10" spans="1:5">
      <c r="A10" t="s">
        <v>387</v>
      </c>
      <c r="B10">
        <v>23.24</v>
      </c>
      <c r="C10">
        <v>16.27</v>
      </c>
      <c r="D10">
        <f t="shared" si="0"/>
        <v>6.9699999999999989</v>
      </c>
      <c r="E10" s="16">
        <f t="shared" si="1"/>
        <v>0.70008605851979344</v>
      </c>
    </row>
    <row r="11" spans="1:5">
      <c r="A11" t="s">
        <v>388</v>
      </c>
      <c r="B11">
        <v>22.26</v>
      </c>
      <c r="C11">
        <v>12.17</v>
      </c>
      <c r="D11">
        <f t="shared" si="0"/>
        <v>10.090000000000002</v>
      </c>
      <c r="E11" s="16">
        <f t="shared" si="1"/>
        <v>0.54672057502246174</v>
      </c>
    </row>
    <row r="12" spans="1:5">
      <c r="A12" t="s">
        <v>389</v>
      </c>
      <c r="B12">
        <v>18.77</v>
      </c>
      <c r="C12">
        <v>11.21</v>
      </c>
      <c r="D12">
        <f t="shared" si="0"/>
        <v>7.5599999999999987</v>
      </c>
      <c r="E12" s="16">
        <f t="shared" si="1"/>
        <v>0.59722962173681415</v>
      </c>
    </row>
    <row r="13" spans="1:5">
      <c r="A13" t="s">
        <v>390</v>
      </c>
      <c r="B13">
        <v>17.71</v>
      </c>
      <c r="C13">
        <v>8.24</v>
      </c>
      <c r="D13">
        <f t="shared" si="0"/>
        <v>9.4700000000000006</v>
      </c>
      <c r="E13" s="16">
        <f t="shared" si="1"/>
        <v>0.46527385657820441</v>
      </c>
    </row>
    <row r="14" spans="1:5">
      <c r="A14" s="81" t="s">
        <v>391</v>
      </c>
      <c r="E14" s="16"/>
    </row>
    <row r="15" spans="1:5">
      <c r="A15" t="s">
        <v>392</v>
      </c>
      <c r="B15">
        <v>15.6</v>
      </c>
      <c r="C15">
        <v>10.45</v>
      </c>
      <c r="D15">
        <f>B15-C15</f>
        <v>5.15</v>
      </c>
      <c r="E15" s="16">
        <f>C15/B15</f>
        <v>0.66987179487179482</v>
      </c>
    </row>
    <row r="16" spans="1:5">
      <c r="A16" t="s">
        <v>393</v>
      </c>
      <c r="B16">
        <v>6.31</v>
      </c>
      <c r="C16">
        <v>2.67</v>
      </c>
      <c r="D16">
        <f>B16-C16</f>
        <v>3.6399999999999997</v>
      </c>
      <c r="E16" s="16">
        <f>C16/B16</f>
        <v>0.42313787638668782</v>
      </c>
    </row>
    <row r="17" spans="1:5">
      <c r="A17" t="s">
        <v>394</v>
      </c>
      <c r="B17">
        <v>5.42</v>
      </c>
      <c r="C17">
        <v>4.1500000000000004</v>
      </c>
      <c r="D17">
        <f>B17-C17</f>
        <v>1.2699999999999996</v>
      </c>
      <c r="E17" s="16">
        <f>C17/B17</f>
        <v>0.76568265682656833</v>
      </c>
    </row>
    <row r="18" spans="1:5">
      <c r="A18" t="s">
        <v>395</v>
      </c>
      <c r="B18">
        <v>2.54</v>
      </c>
      <c r="C18">
        <v>1.19</v>
      </c>
      <c r="D18">
        <f>B18-C18</f>
        <v>1.35</v>
      </c>
      <c r="E18" s="16">
        <f>C18/B18</f>
        <v>0.46850393700787396</v>
      </c>
    </row>
    <row r="21" spans="1:5">
      <c r="A21" t="s">
        <v>396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workbookViewId="0">
      <selection activeCell="T32" sqref="T32"/>
    </sheetView>
  </sheetViews>
  <sheetFormatPr baseColWidth="10" defaultRowHeight="15" x14ac:dyDescent="0"/>
  <cols>
    <col min="1" max="1" width="15.1640625" style="1" bestFit="1" customWidth="1"/>
    <col min="2" max="2" width="7.5" style="1" bestFit="1" customWidth="1"/>
    <col min="3" max="7" width="13.1640625" style="1" bestFit="1" customWidth="1"/>
    <col min="8" max="8" width="7.5" style="1" bestFit="1" customWidth="1"/>
    <col min="9" max="9" width="6.83203125" style="1" bestFit="1" customWidth="1"/>
    <col min="10" max="10" width="7.5" style="1" bestFit="1" customWidth="1"/>
    <col min="11" max="11" width="6.83203125" style="1" bestFit="1" customWidth="1"/>
    <col min="12" max="12" width="7.5" style="1" bestFit="1" customWidth="1"/>
    <col min="13" max="13" width="6.83203125" style="1" bestFit="1" customWidth="1"/>
    <col min="14" max="14" width="7.5" style="1" bestFit="1" customWidth="1"/>
    <col min="15" max="15" width="20.5" style="1" customWidth="1"/>
    <col min="16" max="16" width="7.5" style="1" bestFit="1" customWidth="1"/>
    <col min="17" max="16384" width="10.83203125" style="1"/>
  </cols>
  <sheetData>
    <row r="1" spans="1:17">
      <c r="B1" s="144" t="s">
        <v>357</v>
      </c>
      <c r="C1" s="144" t="s">
        <v>358</v>
      </c>
      <c r="D1" s="144" t="s">
        <v>359</v>
      </c>
      <c r="E1" s="144" t="s">
        <v>360</v>
      </c>
      <c r="F1" s="144" t="s">
        <v>361</v>
      </c>
      <c r="G1" s="144" t="s">
        <v>362</v>
      </c>
      <c r="H1" s="144" t="s">
        <v>363</v>
      </c>
      <c r="I1" s="144" t="s">
        <v>364</v>
      </c>
      <c r="J1" s="144" t="s">
        <v>365</v>
      </c>
      <c r="K1" s="144" t="s">
        <v>366</v>
      </c>
      <c r="L1" s="144" t="s">
        <v>367</v>
      </c>
      <c r="M1" s="144" t="s">
        <v>368</v>
      </c>
      <c r="N1" s="144" t="s">
        <v>369</v>
      </c>
      <c r="O1" s="144" t="s">
        <v>327</v>
      </c>
      <c r="P1" s="144" t="s">
        <v>275</v>
      </c>
      <c r="Q1" s="144" t="s">
        <v>338</v>
      </c>
    </row>
    <row r="2" spans="1:17">
      <c r="A2" s="1" t="s">
        <v>370</v>
      </c>
      <c r="B2" s="1">
        <v>13</v>
      </c>
      <c r="C2" s="1">
        <v>17</v>
      </c>
      <c r="D2" s="1">
        <v>44.3</v>
      </c>
      <c r="E2" s="1">
        <v>50.4</v>
      </c>
      <c r="F2" s="1">
        <v>73.05</v>
      </c>
      <c r="G2" s="1">
        <v>117</v>
      </c>
      <c r="H2" s="1">
        <v>155</v>
      </c>
      <c r="I2" s="1">
        <v>233</v>
      </c>
      <c r="J2" s="1">
        <v>277</v>
      </c>
      <c r="K2" s="1">
        <v>303</v>
      </c>
      <c r="L2" s="1">
        <v>318</v>
      </c>
      <c r="M2" s="1">
        <v>356</v>
      </c>
      <c r="N2" s="1">
        <v>388</v>
      </c>
      <c r="O2" s="1">
        <v>420</v>
      </c>
      <c r="P2" s="185">
        <v>460</v>
      </c>
      <c r="Q2" s="185">
        <v>500</v>
      </c>
    </row>
    <row r="3" spans="1:17">
      <c r="A3" s="1" t="s">
        <v>371</v>
      </c>
      <c r="B3" s="1">
        <v>77</v>
      </c>
      <c r="C3" s="1">
        <v>90.7</v>
      </c>
      <c r="D3" s="1">
        <v>122.44</v>
      </c>
      <c r="E3" s="1">
        <v>163</v>
      </c>
      <c r="F3" s="1">
        <v>214</v>
      </c>
      <c r="G3" s="1">
        <v>270</v>
      </c>
      <c r="H3" s="1">
        <v>320</v>
      </c>
      <c r="I3" s="1">
        <v>346</v>
      </c>
      <c r="J3" s="1">
        <v>364</v>
      </c>
      <c r="K3" s="1">
        <v>450</v>
      </c>
      <c r="L3" s="1">
        <v>390</v>
      </c>
      <c r="M3" s="1">
        <v>396</v>
      </c>
      <c r="N3" s="1">
        <v>380</v>
      </c>
      <c r="O3" s="45">
        <f>0.706*O4</f>
        <v>398.18399999999997</v>
      </c>
    </row>
    <row r="4" spans="1:17">
      <c r="A4" s="1" t="s">
        <v>372</v>
      </c>
      <c r="B4" s="1">
        <v>123</v>
      </c>
      <c r="C4" s="1">
        <v>137</v>
      </c>
      <c r="D4" s="1">
        <v>162</v>
      </c>
      <c r="E4" s="1">
        <v>210</v>
      </c>
      <c r="F4" s="1">
        <v>253</v>
      </c>
      <c r="G4" s="1">
        <v>298</v>
      </c>
      <c r="H4" s="1">
        <v>338</v>
      </c>
      <c r="I4" s="1">
        <v>384</v>
      </c>
      <c r="J4" s="1">
        <v>420</v>
      </c>
      <c r="K4" s="1">
        <v>457</v>
      </c>
      <c r="L4" s="1">
        <v>485</v>
      </c>
      <c r="M4" s="1">
        <v>513</v>
      </c>
      <c r="N4" s="1">
        <v>538</v>
      </c>
      <c r="O4" s="1">
        <v>564</v>
      </c>
      <c r="P4" s="1">
        <v>591</v>
      </c>
      <c r="Q4" s="45">
        <f>Q2/0.81</f>
        <v>617.28395061728395</v>
      </c>
    </row>
    <row r="5" spans="1:17">
      <c r="A5" s="1" t="s">
        <v>373</v>
      </c>
      <c r="C5" s="1">
        <v>203.8</v>
      </c>
      <c r="E5" s="1">
        <v>212.1</v>
      </c>
      <c r="G5" s="1">
        <v>220.1</v>
      </c>
      <c r="I5" s="1">
        <v>227.7</v>
      </c>
      <c r="K5" s="1">
        <v>239.9</v>
      </c>
      <c r="O5" s="1">
        <v>254.3</v>
      </c>
      <c r="P5" s="1">
        <v>265.8</v>
      </c>
      <c r="Q5" s="1">
        <f>0.85*313.9</f>
        <v>266.815</v>
      </c>
    </row>
    <row r="6" spans="1:17">
      <c r="O6" s="1">
        <f>O2/O4</f>
        <v>0.74468085106382975</v>
      </c>
    </row>
    <row r="7" spans="1:17">
      <c r="C7" s="186">
        <v>2006</v>
      </c>
      <c r="D7" s="186">
        <v>2007</v>
      </c>
      <c r="E7" s="186">
        <v>2008</v>
      </c>
      <c r="F7" s="186">
        <v>2009</v>
      </c>
      <c r="G7" s="186">
        <v>2010</v>
      </c>
      <c r="H7" s="186">
        <v>2011</v>
      </c>
      <c r="I7" s="1">
        <v>2012</v>
      </c>
    </row>
    <row r="8" spans="1:17" ht="16">
      <c r="C8" s="187">
        <v>298593212</v>
      </c>
      <c r="D8" s="187">
        <v>301579895</v>
      </c>
      <c r="E8" s="187">
        <v>304374846</v>
      </c>
      <c r="F8" s="187">
        <v>307006550</v>
      </c>
      <c r="G8" s="187">
        <v>310232863</v>
      </c>
      <c r="O8" s="1">
        <f>O4-N4</f>
        <v>26</v>
      </c>
    </row>
    <row r="9" spans="1:17">
      <c r="C9" s="186">
        <v>0.68930000000000002</v>
      </c>
      <c r="D9" s="186">
        <v>0.75</v>
      </c>
      <c r="E9" s="186">
        <v>0.74</v>
      </c>
      <c r="F9" s="186">
        <v>0.71</v>
      </c>
      <c r="G9" s="186">
        <v>0.74</v>
      </c>
      <c r="H9" s="186">
        <v>0.77859999999999996</v>
      </c>
      <c r="I9" s="186">
        <v>0.81030000000000002</v>
      </c>
      <c r="O9" s="1">
        <f>14/O8</f>
        <v>0.53846153846153844</v>
      </c>
    </row>
    <row r="10" spans="1:17">
      <c r="C10" s="3">
        <f>C9*C8</f>
        <v>205820301.0316</v>
      </c>
      <c r="D10" s="3">
        <f t="shared" ref="D10:G10" si="0">D9*D8</f>
        <v>226184921.25</v>
      </c>
      <c r="E10" s="3">
        <f t="shared" si="0"/>
        <v>225237386.03999999</v>
      </c>
      <c r="F10" s="3">
        <f t="shared" si="0"/>
        <v>217974650.5</v>
      </c>
      <c r="G10" s="3">
        <f t="shared" si="0"/>
        <v>229572318.62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A14" sqref="A14"/>
    </sheetView>
  </sheetViews>
  <sheetFormatPr baseColWidth="10" defaultRowHeight="15" x14ac:dyDescent="0"/>
  <sheetData>
    <row r="1" spans="1:8">
      <c r="A1" t="s">
        <v>402</v>
      </c>
    </row>
    <row r="2" spans="1:8">
      <c r="F2" t="s">
        <v>401</v>
      </c>
      <c r="G2" t="s">
        <v>400</v>
      </c>
      <c r="H2" t="s">
        <v>399</v>
      </c>
    </row>
    <row r="3" spans="1:8" ht="18">
      <c r="A3" t="s">
        <v>382</v>
      </c>
      <c r="B3" s="82">
        <v>822.88</v>
      </c>
      <c r="C3" s="82">
        <v>500.02</v>
      </c>
      <c r="D3" s="82"/>
      <c r="E3" s="82">
        <v>35.18</v>
      </c>
      <c r="F3" s="52">
        <f t="shared" ref="F3:F11" si="0">SUM(B3:E3)</f>
        <v>1358.0800000000002</v>
      </c>
      <c r="G3" s="82">
        <v>316.10000000000002</v>
      </c>
      <c r="H3" s="55">
        <f t="shared" ref="H3:H11" si="1">F3/G3</f>
        <v>4.2963619107877253</v>
      </c>
    </row>
    <row r="4" spans="1:8" ht="18">
      <c r="A4" t="s">
        <v>390</v>
      </c>
      <c r="B4" s="82">
        <v>190.47</v>
      </c>
      <c r="C4" s="82">
        <v>87.53</v>
      </c>
      <c r="D4" s="82"/>
      <c r="E4" s="82">
        <v>15.95</v>
      </c>
      <c r="F4" s="52">
        <f t="shared" si="0"/>
        <v>293.95</v>
      </c>
      <c r="G4" s="82">
        <v>63.2</v>
      </c>
      <c r="H4" s="55">
        <f t="shared" si="1"/>
        <v>4.6511075949367084</v>
      </c>
    </row>
    <row r="5" spans="1:8" ht="18">
      <c r="A5" t="s">
        <v>388</v>
      </c>
      <c r="B5" s="82">
        <v>125.01</v>
      </c>
      <c r="C5" s="82">
        <v>53.62</v>
      </c>
      <c r="D5" s="82"/>
      <c r="E5" s="82">
        <v>5.95</v>
      </c>
      <c r="F5" s="52">
        <f t="shared" si="0"/>
        <v>184.57999999999998</v>
      </c>
      <c r="G5" s="82">
        <v>80.400000000000006</v>
      </c>
      <c r="H5" s="55">
        <f t="shared" si="1"/>
        <v>2.2957711442786066</v>
      </c>
    </row>
    <row r="6" spans="1:8" ht="18">
      <c r="A6" t="s">
        <v>389</v>
      </c>
      <c r="B6" s="82">
        <v>73.430000000000007</v>
      </c>
      <c r="C6" s="82">
        <v>59.29</v>
      </c>
      <c r="D6" s="82"/>
      <c r="E6" s="82">
        <v>6.41</v>
      </c>
      <c r="F6" s="52">
        <f t="shared" si="0"/>
        <v>139.13</v>
      </c>
      <c r="G6" s="82">
        <v>65.599999999999994</v>
      </c>
      <c r="H6" s="55">
        <f t="shared" si="1"/>
        <v>2.1208841463414636</v>
      </c>
    </row>
    <row r="7" spans="1:8" ht="18">
      <c r="A7" t="s">
        <v>383</v>
      </c>
      <c r="B7" s="82">
        <v>85.56</v>
      </c>
      <c r="C7" s="82">
        <v>32.659999999999997</v>
      </c>
      <c r="D7" s="82"/>
      <c r="E7" s="82">
        <v>11.6</v>
      </c>
      <c r="F7" s="52">
        <f t="shared" si="0"/>
        <v>129.82</v>
      </c>
      <c r="G7" s="82">
        <v>193.9</v>
      </c>
      <c r="H7" s="55">
        <f t="shared" si="1"/>
        <v>0.66952037132542541</v>
      </c>
    </row>
    <row r="8" spans="1:8" ht="18">
      <c r="A8" t="s">
        <v>385</v>
      </c>
      <c r="B8" s="82">
        <v>171.55</v>
      </c>
      <c r="C8" s="82">
        <v>60.14</v>
      </c>
      <c r="D8" s="82"/>
      <c r="E8" s="82">
        <v>12.5</v>
      </c>
      <c r="F8" s="52">
        <f t="shared" si="0"/>
        <v>244.19</v>
      </c>
      <c r="G8" s="82">
        <v>143.4</v>
      </c>
      <c r="H8" s="55">
        <f t="shared" si="1"/>
        <v>1.7028591352859135</v>
      </c>
    </row>
    <row r="9" spans="1:8" ht="18">
      <c r="A9" t="s">
        <v>393</v>
      </c>
      <c r="B9" s="82">
        <v>36.840000000000003</v>
      </c>
      <c r="C9" s="82">
        <v>40.5</v>
      </c>
      <c r="D9" s="82"/>
      <c r="E9" s="82">
        <v>1.89</v>
      </c>
      <c r="F9" s="52">
        <f t="shared" si="0"/>
        <v>79.23</v>
      </c>
      <c r="G9" s="82">
        <v>23.1</v>
      </c>
      <c r="H9" s="55">
        <f t="shared" si="1"/>
        <v>3.42987012987013</v>
      </c>
    </row>
    <row r="10" spans="1:8" ht="18">
      <c r="A10" t="s">
        <v>380</v>
      </c>
      <c r="B10" s="82">
        <v>27.81</v>
      </c>
      <c r="C10" s="82">
        <v>434.19</v>
      </c>
      <c r="D10" s="82"/>
      <c r="E10" s="82">
        <v>44.89</v>
      </c>
      <c r="F10" s="52">
        <f t="shared" si="0"/>
        <v>506.89</v>
      </c>
      <c r="G10" s="82">
        <v>1354</v>
      </c>
      <c r="H10" s="55">
        <f t="shared" si="1"/>
        <v>0.37436484490398819</v>
      </c>
    </row>
    <row r="11" spans="1:8" ht="18">
      <c r="A11" t="s">
        <v>386</v>
      </c>
      <c r="B11" s="82">
        <v>81.489999999999995</v>
      </c>
      <c r="C11" s="82">
        <v>232.8</v>
      </c>
      <c r="D11" s="82"/>
      <c r="E11" s="82">
        <v>0.22</v>
      </c>
      <c r="F11" s="52">
        <f t="shared" si="0"/>
        <v>314.51000000000005</v>
      </c>
      <c r="G11" s="82">
        <v>127.3</v>
      </c>
      <c r="H11" s="55">
        <f t="shared" si="1"/>
        <v>2.4706205813040065</v>
      </c>
    </row>
    <row r="13" spans="1:8">
      <c r="A13" t="s">
        <v>134</v>
      </c>
      <c r="B13" t="s">
        <v>398</v>
      </c>
    </row>
    <row r="14" spans="1:8">
      <c r="A14" t="s">
        <v>143</v>
      </c>
      <c r="B14" t="s">
        <v>397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/>
  </sheetViews>
  <sheetFormatPr baseColWidth="10" defaultRowHeight="12" x14ac:dyDescent="0"/>
  <cols>
    <col min="1" max="16384" width="10.83203125" style="84"/>
  </cols>
  <sheetData>
    <row r="1" spans="1:13" ht="15">
      <c r="A1" s="83" t="s">
        <v>403</v>
      </c>
    </row>
    <row r="2" spans="1:13">
      <c r="F2" s="84" t="s">
        <v>110</v>
      </c>
      <c r="G2" s="84" t="s">
        <v>111</v>
      </c>
      <c r="H2" s="84" t="s">
        <v>112</v>
      </c>
      <c r="I2" s="84" t="s">
        <v>113</v>
      </c>
      <c r="J2" s="84" t="s">
        <v>114</v>
      </c>
      <c r="K2" s="84" t="s">
        <v>115</v>
      </c>
      <c r="L2" s="84" t="s">
        <v>116</v>
      </c>
    </row>
    <row r="3" spans="1:13" ht="16">
      <c r="A3" s="85" t="s">
        <v>404</v>
      </c>
      <c r="B3" s="85"/>
      <c r="C3" s="85"/>
      <c r="D3" s="85"/>
      <c r="E3" s="85"/>
      <c r="F3" s="86">
        <v>330</v>
      </c>
      <c r="G3" s="86">
        <v>313.5</v>
      </c>
      <c r="H3" s="86">
        <v>297.82499999999999</v>
      </c>
      <c r="I3" s="86">
        <v>275.48812500000003</v>
      </c>
      <c r="J3" s="86">
        <v>247.93931250000003</v>
      </c>
      <c r="K3" s="86">
        <v>223.14538125000004</v>
      </c>
      <c r="L3" s="86">
        <v>200.83084312500003</v>
      </c>
      <c r="M3" s="86">
        <v>180.74775881250002</v>
      </c>
    </row>
    <row r="4" spans="1:13" ht="16">
      <c r="A4" s="85" t="s">
        <v>405</v>
      </c>
      <c r="B4" s="85"/>
      <c r="C4" s="85"/>
      <c r="D4" s="85"/>
      <c r="E4" s="85"/>
      <c r="F4" s="87"/>
      <c r="G4" s="88">
        <v>-0.05</v>
      </c>
      <c r="H4" s="88">
        <v>-0.05</v>
      </c>
      <c r="I4" s="88">
        <v>-7.4999999999999997E-2</v>
      </c>
      <c r="J4" s="88">
        <v>-0.1</v>
      </c>
      <c r="K4" s="88">
        <v>-0.1</v>
      </c>
      <c r="L4" s="88">
        <v>-0.1</v>
      </c>
      <c r="M4" s="88">
        <v>-0.1</v>
      </c>
    </row>
    <row r="5" spans="1:13" ht="16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ht="16">
      <c r="A6" s="85" t="s">
        <v>141</v>
      </c>
      <c r="B6" s="85" t="s">
        <v>406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opLeftCell="A40" workbookViewId="0">
      <selection activeCell="X29" sqref="X29"/>
    </sheetView>
  </sheetViews>
  <sheetFormatPr baseColWidth="10" defaultRowHeight="15" x14ac:dyDescent="0"/>
  <cols>
    <col min="1" max="16384" width="10.83203125" style="5"/>
  </cols>
  <sheetData>
    <row r="1" spans="1:28">
      <c r="B1" s="5" t="s">
        <v>346</v>
      </c>
      <c r="C1" s="5" t="s">
        <v>347</v>
      </c>
      <c r="D1" s="5" t="s">
        <v>348</v>
      </c>
      <c r="E1" s="5" t="s">
        <v>345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187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</row>
    <row r="2" spans="1:28">
      <c r="A2" s="5" t="s">
        <v>417</v>
      </c>
      <c r="B2" s="6">
        <v>270</v>
      </c>
      <c r="C2" s="6">
        <v>1119</v>
      </c>
      <c r="D2" s="6">
        <v>1833</v>
      </c>
      <c r="E2" s="6">
        <v>1630</v>
      </c>
      <c r="F2" s="6">
        <v>692</v>
      </c>
      <c r="G2" s="6">
        <v>2660</v>
      </c>
      <c r="H2" s="6">
        <v>2041</v>
      </c>
      <c r="I2" s="6">
        <v>1678</v>
      </c>
      <c r="J2" s="6">
        <v>2532</v>
      </c>
      <c r="K2" s="6">
        <v>3475</v>
      </c>
      <c r="L2" s="6">
        <v>2501</v>
      </c>
      <c r="M2" s="6">
        <v>2666</v>
      </c>
      <c r="N2" s="6">
        <v>2778</v>
      </c>
      <c r="O2" s="6">
        <v>4912</v>
      </c>
      <c r="P2" s="6">
        <v>3767</v>
      </c>
      <c r="Q2" s="6">
        <v>6810</v>
      </c>
      <c r="R2" s="6">
        <v>5670</v>
      </c>
      <c r="S2" s="6">
        <v>4820</v>
      </c>
      <c r="T2" s="6">
        <v>15073</v>
      </c>
      <c r="U2" s="6">
        <v>10687</v>
      </c>
      <c r="V2" s="6">
        <v>8342</v>
      </c>
    </row>
    <row r="3" spans="1:28">
      <c r="A3" s="5" t="s">
        <v>416</v>
      </c>
      <c r="B3" s="33">
        <v>143</v>
      </c>
      <c r="C3" s="33">
        <v>506</v>
      </c>
      <c r="D3" s="33">
        <v>729</v>
      </c>
      <c r="E3" s="33">
        <v>671</v>
      </c>
      <c r="F3" s="33">
        <v>311</v>
      </c>
      <c r="G3" s="33">
        <v>1645</v>
      </c>
      <c r="H3" s="33">
        <v>1222</v>
      </c>
      <c r="I3" s="33">
        <v>1004</v>
      </c>
      <c r="J3" s="33">
        <v>1390</v>
      </c>
      <c r="K3" s="33">
        <v>1996</v>
      </c>
      <c r="L3" s="33">
        <v>1385</v>
      </c>
      <c r="M3" s="33">
        <v>1444</v>
      </c>
      <c r="N3" s="33">
        <v>1562</v>
      </c>
      <c r="O3" s="33">
        <v>2841</v>
      </c>
      <c r="P3" s="33">
        <v>2102</v>
      </c>
      <c r="Q3" s="33">
        <v>4256</v>
      </c>
      <c r="R3" s="33">
        <v>3438</v>
      </c>
      <c r="S3" s="33">
        <v>2851</v>
      </c>
      <c r="T3" s="33">
        <v>9393</v>
      </c>
      <c r="U3" s="33">
        <v>6678</v>
      </c>
      <c r="V3" s="33">
        <v>5137</v>
      </c>
    </row>
    <row r="4" spans="1:28">
      <c r="A4" s="5" t="s">
        <v>407</v>
      </c>
      <c r="B4" s="33">
        <f t="shared" ref="B4:V4" si="0">B3/B2*1000</f>
        <v>529.62962962962968</v>
      </c>
      <c r="C4" s="33">
        <f t="shared" si="0"/>
        <v>452.18945487041998</v>
      </c>
      <c r="D4" s="33">
        <f t="shared" si="0"/>
        <v>397.70867430441899</v>
      </c>
      <c r="E4" s="33">
        <f t="shared" si="0"/>
        <v>411.65644171779144</v>
      </c>
      <c r="F4" s="33">
        <f t="shared" si="0"/>
        <v>449.42196531791905</v>
      </c>
      <c r="G4" s="33">
        <f t="shared" si="0"/>
        <v>618.42105263157896</v>
      </c>
      <c r="H4" s="33">
        <f t="shared" si="0"/>
        <v>598.72611464968156</v>
      </c>
      <c r="I4" s="33">
        <f t="shared" si="0"/>
        <v>598.33134684147797</v>
      </c>
      <c r="J4" s="33">
        <f t="shared" si="0"/>
        <v>548.97314375987355</v>
      </c>
      <c r="K4" s="33">
        <f t="shared" si="0"/>
        <v>574.38848920863302</v>
      </c>
      <c r="L4" s="33">
        <f t="shared" si="0"/>
        <v>553.77848860455811</v>
      </c>
      <c r="M4" s="33">
        <f t="shared" si="0"/>
        <v>541.63540885221312</v>
      </c>
      <c r="N4" s="33">
        <f t="shared" si="0"/>
        <v>562.2750179985602</v>
      </c>
      <c r="O4" s="33">
        <f t="shared" si="0"/>
        <v>578.37947882736148</v>
      </c>
      <c r="P4" s="33">
        <f t="shared" si="0"/>
        <v>558.00371648526686</v>
      </c>
      <c r="Q4" s="33">
        <f t="shared" si="0"/>
        <v>624.96328928046989</v>
      </c>
      <c r="R4" s="33">
        <f t="shared" si="0"/>
        <v>606.34920634920627</v>
      </c>
      <c r="S4" s="33">
        <f t="shared" si="0"/>
        <v>591.49377593360998</v>
      </c>
      <c r="T4" s="33">
        <f t="shared" si="0"/>
        <v>623.16725270350958</v>
      </c>
      <c r="U4" s="33">
        <f t="shared" si="0"/>
        <v>624.87133901001209</v>
      </c>
      <c r="V4" s="33">
        <f t="shared" si="0"/>
        <v>615.79956844881326</v>
      </c>
    </row>
    <row r="5" spans="1:28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1"/>
      <c r="X5" s="91"/>
      <c r="Y5" s="91"/>
      <c r="Z5" s="91"/>
      <c r="AA5" s="89">
        <f>AA6/Z6-1</f>
        <v>8.3333333333333259E-2</v>
      </c>
    </row>
    <row r="6" spans="1:28">
      <c r="A6" s="5" t="s">
        <v>415</v>
      </c>
      <c r="B6" s="6">
        <v>270</v>
      </c>
      <c r="C6" s="6">
        <v>1119</v>
      </c>
      <c r="D6" s="6">
        <v>2315</v>
      </c>
      <c r="E6" s="6">
        <v>1703</v>
      </c>
      <c r="F6" s="6">
        <v>717</v>
      </c>
      <c r="G6" s="6">
        <v>6892</v>
      </c>
      <c r="H6" s="6">
        <v>4363</v>
      </c>
      <c r="I6" s="6">
        <v>3793</v>
      </c>
      <c r="J6" s="6">
        <v>5208</v>
      </c>
      <c r="K6" s="6">
        <v>7367</v>
      </c>
      <c r="L6" s="6">
        <v>8737</v>
      </c>
      <c r="M6" s="6">
        <v>8752</v>
      </c>
      <c r="N6" s="6">
        <v>8398</v>
      </c>
      <c r="O6" s="6">
        <v>14102</v>
      </c>
      <c r="P6" s="6">
        <v>16235</v>
      </c>
      <c r="Q6" s="6">
        <v>18647</v>
      </c>
      <c r="R6" s="6">
        <v>20338</v>
      </c>
      <c r="S6" s="6">
        <v>17073</v>
      </c>
      <c r="T6" s="6">
        <v>37044</v>
      </c>
      <c r="U6" s="6">
        <v>35064</v>
      </c>
      <c r="V6" s="6">
        <v>26000</v>
      </c>
      <c r="W6" s="6">
        <v>26910</v>
      </c>
      <c r="X6" s="6">
        <v>47789</v>
      </c>
      <c r="Y6" s="6">
        <v>37430</v>
      </c>
      <c r="Z6" s="6">
        <v>31200</v>
      </c>
      <c r="AA6" s="90">
        <v>33800</v>
      </c>
      <c r="AB6" s="6">
        <v>51000</v>
      </c>
    </row>
    <row r="7" spans="1:28">
      <c r="A7" s="5" t="s">
        <v>414</v>
      </c>
      <c r="B7" s="33">
        <v>141</v>
      </c>
      <c r="C7" s="33">
        <v>489</v>
      </c>
      <c r="D7" s="33">
        <v>1036</v>
      </c>
      <c r="E7" s="33">
        <v>817</v>
      </c>
      <c r="F7" s="33">
        <v>483</v>
      </c>
      <c r="G7" s="33">
        <v>4406</v>
      </c>
      <c r="H7" s="33">
        <v>2940</v>
      </c>
      <c r="I7" s="33">
        <v>2427</v>
      </c>
      <c r="J7" s="33">
        <v>3060</v>
      </c>
      <c r="K7" s="33">
        <v>4606</v>
      </c>
      <c r="L7" s="33">
        <v>5578</v>
      </c>
      <c r="M7" s="33">
        <v>5445</v>
      </c>
      <c r="N7" s="33">
        <v>5334</v>
      </c>
      <c r="O7" s="33">
        <v>8822</v>
      </c>
      <c r="P7" s="33">
        <v>10468</v>
      </c>
      <c r="Q7" s="33">
        <v>12298</v>
      </c>
      <c r="R7" s="33">
        <v>13311</v>
      </c>
      <c r="S7" s="33">
        <v>10980</v>
      </c>
      <c r="T7" s="33">
        <v>24417</v>
      </c>
      <c r="U7" s="33">
        <v>22690</v>
      </c>
      <c r="V7" s="33">
        <v>16245</v>
      </c>
      <c r="W7" s="33">
        <v>17125</v>
      </c>
      <c r="X7" s="33">
        <v>30660</v>
      </c>
      <c r="Y7" s="33">
        <v>22955</v>
      </c>
      <c r="AA7" s="7"/>
      <c r="AB7" s="7"/>
    </row>
    <row r="8" spans="1:28">
      <c r="A8" s="5" t="s">
        <v>407</v>
      </c>
      <c r="B8" s="33">
        <f t="shared" ref="B8:Y8" si="1">B7/B6*1000</f>
        <v>522.22222222222229</v>
      </c>
      <c r="C8" s="33">
        <f t="shared" si="1"/>
        <v>436.99731903485258</v>
      </c>
      <c r="D8" s="33">
        <f t="shared" si="1"/>
        <v>447.51619870410372</v>
      </c>
      <c r="E8" s="33">
        <f t="shared" si="1"/>
        <v>479.74163241338812</v>
      </c>
      <c r="F8" s="33">
        <f t="shared" si="1"/>
        <v>673.64016736401675</v>
      </c>
      <c r="G8" s="33">
        <f t="shared" si="1"/>
        <v>639.29193267556582</v>
      </c>
      <c r="H8" s="33">
        <f t="shared" si="1"/>
        <v>673.84826953930781</v>
      </c>
      <c r="I8" s="33">
        <f t="shared" si="1"/>
        <v>639.86290535196406</v>
      </c>
      <c r="J8" s="33">
        <f t="shared" si="1"/>
        <v>587.55760368663584</v>
      </c>
      <c r="K8" s="33">
        <f t="shared" si="1"/>
        <v>625.22057825437764</v>
      </c>
      <c r="L8" s="33">
        <f t="shared" si="1"/>
        <v>638.43424516424409</v>
      </c>
      <c r="M8" s="33">
        <f t="shared" si="1"/>
        <v>622.14351005484457</v>
      </c>
      <c r="N8" s="33">
        <f t="shared" si="1"/>
        <v>635.15122648249576</v>
      </c>
      <c r="O8" s="33">
        <f t="shared" si="1"/>
        <v>625.58502340093605</v>
      </c>
      <c r="P8" s="33">
        <f t="shared" si="1"/>
        <v>644.77979673544803</v>
      </c>
      <c r="Q8" s="33">
        <f t="shared" si="1"/>
        <v>659.51627607658065</v>
      </c>
      <c r="R8" s="33">
        <f t="shared" si="1"/>
        <v>654.48913364145938</v>
      </c>
      <c r="S8" s="33">
        <f t="shared" si="1"/>
        <v>643.12071692145491</v>
      </c>
      <c r="T8" s="33">
        <f t="shared" si="1"/>
        <v>659.13508260447043</v>
      </c>
      <c r="U8" s="33">
        <f t="shared" si="1"/>
        <v>647.10244125028521</v>
      </c>
      <c r="V8" s="33">
        <f t="shared" si="1"/>
        <v>624.80769230769226</v>
      </c>
      <c r="W8" s="33">
        <f t="shared" si="1"/>
        <v>636.38052768487557</v>
      </c>
      <c r="X8" s="33">
        <f t="shared" si="1"/>
        <v>641.57023582832869</v>
      </c>
      <c r="Y8" s="33">
        <f t="shared" si="1"/>
        <v>613.27811915575739</v>
      </c>
    </row>
    <row r="9" spans="1:28">
      <c r="B9" s="33"/>
      <c r="C9" s="33"/>
      <c r="D9" s="33"/>
      <c r="E9" s="33"/>
      <c r="F9" s="33"/>
      <c r="G9" s="33"/>
      <c r="H9" s="33"/>
      <c r="I9" s="33">
        <f>MAX(I8:V8)</f>
        <v>659.51627607658065</v>
      </c>
      <c r="J9" s="33">
        <f>MIN(I8:V8)</f>
        <v>587.55760368663584</v>
      </c>
      <c r="K9" s="33"/>
      <c r="L9" s="33"/>
      <c r="M9" s="33"/>
      <c r="N9" s="33"/>
      <c r="O9" s="33"/>
      <c r="P9" s="33"/>
      <c r="Q9" s="33"/>
      <c r="R9" s="89">
        <f t="shared" ref="R9:Y9" si="2">R6/N6-1</f>
        <v>1.4217670874017623</v>
      </c>
      <c r="S9" s="89">
        <f t="shared" si="2"/>
        <v>0.21067933626435975</v>
      </c>
      <c r="T9" s="89">
        <f t="shared" si="2"/>
        <v>1.2817369879889129</v>
      </c>
      <c r="U9" s="89">
        <f t="shared" si="2"/>
        <v>0.88040971738081186</v>
      </c>
      <c r="V9" s="89">
        <f t="shared" si="2"/>
        <v>0.27839512243091757</v>
      </c>
      <c r="W9" s="89">
        <f t="shared" si="2"/>
        <v>0.57617290458618875</v>
      </c>
      <c r="X9" s="89">
        <f t="shared" si="2"/>
        <v>0.29006046863189727</v>
      </c>
      <c r="Y9" s="89">
        <f t="shared" si="2"/>
        <v>6.7476614191193329E-2</v>
      </c>
    </row>
    <row r="10" spans="1:28">
      <c r="B10" s="89">
        <f t="shared" ref="B10:V10" si="3">B2/B6</f>
        <v>1</v>
      </c>
      <c r="C10" s="89">
        <f t="shared" si="3"/>
        <v>1</v>
      </c>
      <c r="D10" s="89">
        <f t="shared" si="3"/>
        <v>0.791792656587473</v>
      </c>
      <c r="E10" s="89">
        <f t="shared" si="3"/>
        <v>0.9571344685848503</v>
      </c>
      <c r="F10" s="89">
        <f t="shared" si="3"/>
        <v>0.96513249651324962</v>
      </c>
      <c r="G10" s="89">
        <f t="shared" si="3"/>
        <v>0.38595473012188042</v>
      </c>
      <c r="H10" s="89">
        <f t="shared" si="3"/>
        <v>0.46779738711895485</v>
      </c>
      <c r="I10" s="89">
        <f t="shared" si="3"/>
        <v>0.44239388346954917</v>
      </c>
      <c r="J10" s="89">
        <f t="shared" si="3"/>
        <v>0.48617511520737328</v>
      </c>
      <c r="K10" s="89">
        <f t="shared" si="3"/>
        <v>0.47169811320754718</v>
      </c>
      <c r="L10" s="89">
        <f t="shared" si="3"/>
        <v>0.28625386288199611</v>
      </c>
      <c r="M10" s="89">
        <f t="shared" si="3"/>
        <v>0.30461608775137111</v>
      </c>
      <c r="N10" s="89">
        <f t="shared" si="3"/>
        <v>0.33079304596332459</v>
      </c>
      <c r="O10" s="89">
        <f t="shared" si="3"/>
        <v>0.34831938732094736</v>
      </c>
      <c r="P10" s="89">
        <f t="shared" si="3"/>
        <v>0.23202956575300276</v>
      </c>
      <c r="Q10" s="89">
        <f t="shared" si="3"/>
        <v>0.36520619938864163</v>
      </c>
      <c r="R10" s="89">
        <f t="shared" si="3"/>
        <v>0.27878847477628088</v>
      </c>
      <c r="S10" s="89">
        <f t="shared" si="3"/>
        <v>0.28231710888537459</v>
      </c>
      <c r="T10" s="89">
        <f t="shared" si="3"/>
        <v>0.40689450383327935</v>
      </c>
      <c r="U10" s="89">
        <f t="shared" si="3"/>
        <v>0.30478553502167466</v>
      </c>
      <c r="V10" s="89">
        <f t="shared" si="3"/>
        <v>0.32084615384615384</v>
      </c>
      <c r="Y10" s="89">
        <f>Y8/X8-1</f>
        <v>-4.4098237562475884E-2</v>
      </c>
    </row>
    <row r="11" spans="1:28">
      <c r="B11" s="89">
        <f t="shared" ref="B11:V11" si="4">B3/B7</f>
        <v>1.0141843971631206</v>
      </c>
      <c r="C11" s="89">
        <f t="shared" si="4"/>
        <v>1.0347648261758691</v>
      </c>
      <c r="D11" s="89">
        <f t="shared" si="4"/>
        <v>0.70366795366795365</v>
      </c>
      <c r="E11" s="89">
        <f t="shared" si="4"/>
        <v>0.82129742962056307</v>
      </c>
      <c r="F11" s="89">
        <f t="shared" si="4"/>
        <v>0.64389233954451341</v>
      </c>
      <c r="G11" s="89">
        <f t="shared" si="4"/>
        <v>0.37335451656831592</v>
      </c>
      <c r="H11" s="89">
        <f t="shared" si="4"/>
        <v>0.41564625850340137</v>
      </c>
      <c r="I11" s="89">
        <f t="shared" si="4"/>
        <v>0.41367943963741244</v>
      </c>
      <c r="J11" s="89">
        <f t="shared" si="4"/>
        <v>0.45424836601307189</v>
      </c>
      <c r="K11" s="89">
        <f t="shared" si="4"/>
        <v>0.4333478072079896</v>
      </c>
      <c r="L11" s="89">
        <f t="shared" si="4"/>
        <v>0.24829688060236643</v>
      </c>
      <c r="M11" s="89">
        <f t="shared" si="4"/>
        <v>0.26519742883379249</v>
      </c>
      <c r="N11" s="89">
        <f t="shared" si="4"/>
        <v>0.2928383952005999</v>
      </c>
      <c r="O11" s="89">
        <f t="shared" si="4"/>
        <v>0.32203581954205396</v>
      </c>
      <c r="P11" s="89">
        <f t="shared" si="4"/>
        <v>0.20080244554833779</v>
      </c>
      <c r="Q11" s="89">
        <f t="shared" si="4"/>
        <v>0.34607253211904376</v>
      </c>
      <c r="R11" s="89">
        <f t="shared" si="4"/>
        <v>0.25828262339418528</v>
      </c>
      <c r="S11" s="89">
        <f t="shared" si="4"/>
        <v>0.25965391621129325</v>
      </c>
      <c r="T11" s="89">
        <f t="shared" si="4"/>
        <v>0.38469099397960438</v>
      </c>
      <c r="U11" s="89">
        <f t="shared" si="4"/>
        <v>0.29431467606875278</v>
      </c>
      <c r="V11" s="89">
        <f t="shared" si="4"/>
        <v>0.31622037550015392</v>
      </c>
    </row>
    <row r="13" spans="1:28">
      <c r="A13" s="5" t="s">
        <v>413</v>
      </c>
      <c r="N13" s="5">
        <v>90</v>
      </c>
      <c r="O13" s="5">
        <v>2539</v>
      </c>
      <c r="P13" s="5">
        <v>2228</v>
      </c>
      <c r="Q13" s="5">
        <v>1938</v>
      </c>
      <c r="R13" s="5">
        <v>4272</v>
      </c>
      <c r="S13" s="5">
        <v>2673</v>
      </c>
      <c r="T13" s="5">
        <v>2975</v>
      </c>
      <c r="U13" s="5">
        <v>2535</v>
      </c>
      <c r="V13" s="5">
        <v>2001</v>
      </c>
    </row>
    <row r="14" spans="1:28">
      <c r="A14" s="5" t="s">
        <v>412</v>
      </c>
      <c r="N14" s="5">
        <v>23</v>
      </c>
      <c r="O14" s="5">
        <v>1056</v>
      </c>
      <c r="P14" s="5">
        <v>915</v>
      </c>
      <c r="Q14" s="5">
        <v>738</v>
      </c>
      <c r="R14" s="5">
        <v>1411</v>
      </c>
      <c r="S14" s="5">
        <v>786</v>
      </c>
      <c r="T14" s="5">
        <v>1071</v>
      </c>
      <c r="U14" s="5">
        <v>838</v>
      </c>
      <c r="V14" s="5">
        <v>678</v>
      </c>
    </row>
    <row r="15" spans="1:28">
      <c r="A15" s="5" t="s">
        <v>407</v>
      </c>
      <c r="N15" s="33">
        <f t="shared" ref="N15:V15" si="5">N14/N13*1000</f>
        <v>255.55555555555554</v>
      </c>
      <c r="O15" s="33">
        <f t="shared" si="5"/>
        <v>415.91177628987793</v>
      </c>
      <c r="P15" s="33">
        <f t="shared" si="5"/>
        <v>410.68222621184918</v>
      </c>
      <c r="Q15" s="33">
        <f t="shared" si="5"/>
        <v>380.80495356037153</v>
      </c>
      <c r="R15" s="33">
        <f t="shared" si="5"/>
        <v>330.29026217228466</v>
      </c>
      <c r="S15" s="33">
        <f t="shared" si="5"/>
        <v>294.05162738496074</v>
      </c>
      <c r="T15" s="33">
        <f t="shared" si="5"/>
        <v>360</v>
      </c>
      <c r="U15" s="33">
        <f t="shared" si="5"/>
        <v>330.57199211045361</v>
      </c>
      <c r="V15" s="33">
        <f t="shared" si="5"/>
        <v>338.83058470764615</v>
      </c>
    </row>
    <row r="16" spans="1:28">
      <c r="N16" s="33"/>
      <c r="O16" s="33"/>
      <c r="P16" s="33"/>
      <c r="Q16" s="33"/>
      <c r="R16" s="33"/>
      <c r="S16" s="33"/>
      <c r="T16" s="33"/>
      <c r="U16" s="33"/>
      <c r="V16" s="33"/>
    </row>
    <row r="18" spans="1:28">
      <c r="A18" s="5" t="s">
        <v>411</v>
      </c>
      <c r="N18" s="6">
        <v>2294</v>
      </c>
      <c r="O18" s="6">
        <v>1969</v>
      </c>
      <c r="P18" s="6">
        <v>3597</v>
      </c>
      <c r="Q18" s="6">
        <v>1914</v>
      </c>
      <c r="R18" s="6">
        <v>4293</v>
      </c>
      <c r="S18" s="6">
        <v>3795</v>
      </c>
      <c r="T18" s="6">
        <v>5967</v>
      </c>
      <c r="U18" s="6">
        <v>4460</v>
      </c>
      <c r="V18" s="6">
        <v>5713</v>
      </c>
    </row>
    <row r="19" spans="1:28">
      <c r="A19" s="5" t="s">
        <v>410</v>
      </c>
      <c r="N19" s="5">
        <v>1398</v>
      </c>
      <c r="O19" s="5">
        <v>1223</v>
      </c>
      <c r="P19" s="5">
        <v>2065</v>
      </c>
      <c r="Q19" s="5">
        <v>1067</v>
      </c>
      <c r="R19" s="5">
        <v>2583</v>
      </c>
      <c r="S19" s="5">
        <v>2172</v>
      </c>
      <c r="T19" s="5">
        <v>3288</v>
      </c>
      <c r="U19" s="5">
        <v>2387</v>
      </c>
      <c r="V19" s="5">
        <v>2891</v>
      </c>
    </row>
    <row r="20" spans="1:28">
      <c r="A20" s="5" t="s">
        <v>407</v>
      </c>
      <c r="N20" s="33">
        <f t="shared" ref="N20:V20" si="6">N19/N18*1000</f>
        <v>609.41586748038355</v>
      </c>
      <c r="O20" s="33">
        <f t="shared" si="6"/>
        <v>621.12747587607919</v>
      </c>
      <c r="P20" s="33">
        <f t="shared" si="6"/>
        <v>574.08951904364744</v>
      </c>
      <c r="Q20" s="33">
        <f t="shared" si="6"/>
        <v>557.47126436781616</v>
      </c>
      <c r="R20" s="33">
        <f t="shared" si="6"/>
        <v>601.67714884696022</v>
      </c>
      <c r="S20" s="33">
        <f t="shared" si="6"/>
        <v>572.33201581027674</v>
      </c>
      <c r="T20" s="33">
        <f t="shared" si="6"/>
        <v>551.03066867772759</v>
      </c>
      <c r="U20" s="33">
        <f t="shared" si="6"/>
        <v>535.2017937219731</v>
      </c>
      <c r="V20" s="33">
        <f t="shared" si="6"/>
        <v>506.03885874321719</v>
      </c>
    </row>
    <row r="21" spans="1:28">
      <c r="A21" s="91"/>
    </row>
    <row r="22" spans="1:28">
      <c r="A22" s="5" t="s">
        <v>409</v>
      </c>
      <c r="N22" s="6">
        <v>3270</v>
      </c>
      <c r="O22" s="6">
        <v>4188</v>
      </c>
      <c r="P22" s="6">
        <v>7331</v>
      </c>
      <c r="Q22" s="6">
        <v>4694</v>
      </c>
      <c r="R22" s="6">
        <v>9246</v>
      </c>
      <c r="S22" s="6">
        <v>11123</v>
      </c>
      <c r="T22" s="6">
        <v>15434</v>
      </c>
      <c r="U22" s="6">
        <v>11798</v>
      </c>
      <c r="V22" s="6">
        <v>17042</v>
      </c>
      <c r="W22" s="6">
        <v>14036</v>
      </c>
      <c r="X22" s="6">
        <v>22900</v>
      </c>
      <c r="Y22" s="6">
        <v>19477</v>
      </c>
      <c r="Z22" s="6">
        <v>14600</v>
      </c>
      <c r="AA22" s="90">
        <v>14100</v>
      </c>
    </row>
    <row r="23" spans="1:28">
      <c r="A23" s="5" t="s">
        <v>408</v>
      </c>
      <c r="N23" s="33">
        <v>2166</v>
      </c>
      <c r="O23" s="33">
        <v>2792</v>
      </c>
      <c r="P23" s="33">
        <v>4608</v>
      </c>
      <c r="Q23" s="33">
        <v>2836</v>
      </c>
      <c r="R23" s="33">
        <v>6046</v>
      </c>
      <c r="S23" s="33">
        <v>6868</v>
      </c>
      <c r="T23" s="33">
        <v>9153</v>
      </c>
      <c r="U23" s="33">
        <v>6264</v>
      </c>
      <c r="V23" s="33">
        <v>9171</v>
      </c>
      <c r="W23" s="33">
        <v>7510</v>
      </c>
      <c r="X23" s="33">
        <v>10674</v>
      </c>
      <c r="Y23" s="33">
        <v>8746</v>
      </c>
    </row>
    <row r="24" spans="1:28">
      <c r="A24" s="5" t="s">
        <v>407</v>
      </c>
      <c r="N24" s="33">
        <f t="shared" ref="N24:Y24" si="7">N23/N22*1000</f>
        <v>662.38532110091739</v>
      </c>
      <c r="O24" s="33">
        <f t="shared" si="7"/>
        <v>666.66666666666663</v>
      </c>
      <c r="P24" s="33">
        <f t="shared" si="7"/>
        <v>628.56363388350849</v>
      </c>
      <c r="Q24" s="33">
        <f t="shared" si="7"/>
        <v>604.17554324669788</v>
      </c>
      <c r="R24" s="33">
        <f t="shared" si="7"/>
        <v>653.9043910880381</v>
      </c>
      <c r="S24" s="33">
        <f t="shared" si="7"/>
        <v>617.45931852917374</v>
      </c>
      <c r="T24" s="33">
        <f t="shared" si="7"/>
        <v>593.04133730724368</v>
      </c>
      <c r="U24" s="33">
        <f t="shared" si="7"/>
        <v>530.93744702491949</v>
      </c>
      <c r="V24" s="33">
        <f t="shared" si="7"/>
        <v>538.14106325548653</v>
      </c>
      <c r="W24" s="33">
        <f t="shared" si="7"/>
        <v>535.05272157309776</v>
      </c>
      <c r="X24" s="33">
        <f t="shared" si="7"/>
        <v>466.11353711790395</v>
      </c>
      <c r="Y24" s="33">
        <f t="shared" si="7"/>
        <v>449.04246033783437</v>
      </c>
      <c r="Z24" s="89">
        <f>Y24/R24-1</f>
        <v>-0.31329034265901146</v>
      </c>
    </row>
    <row r="25" spans="1:28">
      <c r="R25" s="89">
        <f t="shared" ref="R25:Y25" si="8">R22/N22-1</f>
        <v>1.8275229357798164</v>
      </c>
      <c r="S25" s="89">
        <f t="shared" si="8"/>
        <v>1.6559216809933144</v>
      </c>
      <c r="T25" s="89">
        <f t="shared" si="8"/>
        <v>1.1053062338016644</v>
      </c>
      <c r="U25" s="89">
        <f t="shared" si="8"/>
        <v>1.5134213890072434</v>
      </c>
      <c r="V25" s="89">
        <f t="shared" si="8"/>
        <v>0.8431754272117673</v>
      </c>
      <c r="W25" s="89">
        <f t="shared" si="8"/>
        <v>0.26188977793760682</v>
      </c>
      <c r="X25" s="89">
        <f t="shared" si="8"/>
        <v>0.48373720357651928</v>
      </c>
      <c r="Y25" s="89">
        <f t="shared" si="8"/>
        <v>0.65087302932700464</v>
      </c>
    </row>
    <row r="26" spans="1:28">
      <c r="N26" s="89">
        <f t="shared" ref="N26:V26" si="9">N18/N22</f>
        <v>0.7015290519877676</v>
      </c>
      <c r="O26" s="89">
        <f t="shared" si="9"/>
        <v>0.470152817574021</v>
      </c>
      <c r="P26" s="89">
        <f t="shared" si="9"/>
        <v>0.49065611785568136</v>
      </c>
      <c r="Q26" s="89">
        <f t="shared" si="9"/>
        <v>0.4077545803152961</v>
      </c>
      <c r="R26" s="89">
        <f t="shared" si="9"/>
        <v>0.46430889033095391</v>
      </c>
      <c r="S26" s="89">
        <f t="shared" si="9"/>
        <v>0.34118493212262879</v>
      </c>
      <c r="T26" s="89">
        <f t="shared" si="9"/>
        <v>0.38661396915899959</v>
      </c>
      <c r="U26" s="89">
        <f t="shared" si="9"/>
        <v>0.37803017460586541</v>
      </c>
      <c r="V26" s="89">
        <f t="shared" si="9"/>
        <v>0.33523060673629856</v>
      </c>
      <c r="X26" s="89">
        <f>X24/W24-1</f>
        <v>-0.12884559161292952</v>
      </c>
      <c r="Y26" s="89">
        <f>Y24/X24-1</f>
        <v>-3.6624288763686841E-2</v>
      </c>
    </row>
    <row r="27" spans="1:28">
      <c r="N27" s="89">
        <f t="shared" ref="N27:V27" si="10">N19/N23</f>
        <v>0.64542936288088648</v>
      </c>
      <c r="O27" s="89">
        <f t="shared" si="10"/>
        <v>0.43803724928366761</v>
      </c>
      <c r="P27" s="89">
        <f t="shared" si="10"/>
        <v>0.44813368055555558</v>
      </c>
      <c r="Q27" s="89">
        <f t="shared" si="10"/>
        <v>0.37623413258110017</v>
      </c>
      <c r="R27" s="89">
        <f t="shared" si="10"/>
        <v>0.42722461131326495</v>
      </c>
      <c r="S27" s="89">
        <f t="shared" si="10"/>
        <v>0.31624927198602215</v>
      </c>
      <c r="T27" s="89">
        <f t="shared" si="10"/>
        <v>0.35922648312028843</v>
      </c>
      <c r="U27" s="89">
        <f t="shared" si="10"/>
        <v>0.38106641123882501</v>
      </c>
      <c r="V27" s="89">
        <f t="shared" si="10"/>
        <v>0.31523279904045359</v>
      </c>
    </row>
    <row r="29" spans="1:28">
      <c r="F29" s="89">
        <f t="shared" ref="F29:Y29" si="11">F6/B6-1</f>
        <v>1.6555555555555554</v>
      </c>
      <c r="G29" s="89">
        <f t="shared" si="11"/>
        <v>5.1590705987488832</v>
      </c>
      <c r="H29" s="89">
        <f t="shared" si="11"/>
        <v>0.88466522678185755</v>
      </c>
      <c r="I29" s="89">
        <f t="shared" si="11"/>
        <v>1.2272460364063416</v>
      </c>
      <c r="J29" s="89">
        <f t="shared" si="11"/>
        <v>6.2635983263598325</v>
      </c>
      <c r="K29" s="89">
        <f t="shared" si="11"/>
        <v>6.8920487521764384E-2</v>
      </c>
      <c r="L29" s="89">
        <f t="shared" si="11"/>
        <v>1.0025212010084803</v>
      </c>
      <c r="M29" s="89">
        <f t="shared" si="11"/>
        <v>1.3074083838650146</v>
      </c>
      <c r="N29" s="89">
        <f t="shared" si="11"/>
        <v>0.61251920122887871</v>
      </c>
      <c r="O29" s="89">
        <f t="shared" si="11"/>
        <v>0.91421202660513101</v>
      </c>
      <c r="P29" s="89">
        <f t="shared" si="11"/>
        <v>0.85818930983175012</v>
      </c>
      <c r="Q29" s="89">
        <f t="shared" si="11"/>
        <v>1.1305987202925047</v>
      </c>
      <c r="R29" s="89">
        <f t="shared" si="11"/>
        <v>1.4217670874017623</v>
      </c>
      <c r="S29" s="89">
        <f t="shared" si="11"/>
        <v>0.21067933626435975</v>
      </c>
      <c r="T29" s="89">
        <f t="shared" si="11"/>
        <v>1.2817369879889129</v>
      </c>
      <c r="U29" s="89">
        <f t="shared" si="11"/>
        <v>0.88040971738081186</v>
      </c>
      <c r="V29" s="89">
        <f t="shared" si="11"/>
        <v>0.27839512243091757</v>
      </c>
      <c r="W29" s="89">
        <f t="shared" si="11"/>
        <v>0.57617290458618875</v>
      </c>
      <c r="X29" s="89">
        <f t="shared" si="11"/>
        <v>0.29006046863189727</v>
      </c>
      <c r="Y29" s="89">
        <f t="shared" si="11"/>
        <v>6.7476614191193329E-2</v>
      </c>
      <c r="Z29" s="15">
        <v>0.2</v>
      </c>
      <c r="AA29" s="89">
        <f>AA6/W6-1</f>
        <v>0.2560386473429952</v>
      </c>
      <c r="AB29" s="89">
        <f>AB6/X6-1</f>
        <v>6.7191194626378348E-2</v>
      </c>
    </row>
    <row r="30" spans="1:28">
      <c r="R30" s="89">
        <f t="shared" ref="R30:Y30" si="12">R22/N22-1</f>
        <v>1.8275229357798164</v>
      </c>
      <c r="S30" s="89">
        <f t="shared" si="12"/>
        <v>1.6559216809933144</v>
      </c>
      <c r="T30" s="89">
        <f t="shared" si="12"/>
        <v>1.1053062338016644</v>
      </c>
      <c r="U30" s="89">
        <f t="shared" si="12"/>
        <v>1.5134213890072434</v>
      </c>
      <c r="V30" s="89">
        <f t="shared" si="12"/>
        <v>0.8431754272117673</v>
      </c>
      <c r="W30" s="89">
        <f t="shared" si="12"/>
        <v>0.26188977793760682</v>
      </c>
      <c r="X30" s="89">
        <f t="shared" si="12"/>
        <v>0.48373720357651928</v>
      </c>
      <c r="Y30" s="89">
        <f t="shared" si="12"/>
        <v>0.65087302932700464</v>
      </c>
      <c r="Z30" s="15">
        <v>-0.14000000000000001</v>
      </c>
      <c r="AA30" s="89">
        <f>AA22/W22-1</f>
        <v>4.5597036192648321E-3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1:AE40"/>
  <sheetViews>
    <sheetView topLeftCell="O32" workbookViewId="0">
      <selection activeCell="O1" sqref="A1:XFD1048576"/>
    </sheetView>
  </sheetViews>
  <sheetFormatPr baseColWidth="10" defaultRowHeight="15" outlineLevelRow="1" x14ac:dyDescent="0"/>
  <cols>
    <col min="1" max="26" width="10.83203125" style="1"/>
    <col min="27" max="27" width="11.6640625" style="1" bestFit="1" customWidth="1"/>
    <col min="28" max="16384" width="10.83203125" style="1"/>
  </cols>
  <sheetData>
    <row r="11" spans="4:31">
      <c r="E11" s="1" t="s">
        <v>346</v>
      </c>
      <c r="F11" s="1" t="s">
        <v>347</v>
      </c>
      <c r="G11" s="1" t="s">
        <v>348</v>
      </c>
      <c r="H11" s="1" t="s">
        <v>345</v>
      </c>
      <c r="I11" s="1" t="s">
        <v>5</v>
      </c>
      <c r="J11" s="1" t="s">
        <v>6</v>
      </c>
      <c r="K11" s="1" t="s">
        <v>7</v>
      </c>
      <c r="L11" s="1" t="s">
        <v>8</v>
      </c>
      <c r="M11" s="1" t="s">
        <v>9</v>
      </c>
      <c r="N11" s="1" t="s">
        <v>10</v>
      </c>
      <c r="O11" s="1" t="s">
        <v>11</v>
      </c>
      <c r="P11" s="1" t="s">
        <v>12</v>
      </c>
      <c r="Q11" s="1" t="s">
        <v>13</v>
      </c>
      <c r="R11" s="1" t="s">
        <v>14</v>
      </c>
      <c r="S11" s="1" t="s">
        <v>15</v>
      </c>
      <c r="T11" s="1" t="s">
        <v>16</v>
      </c>
      <c r="U11" s="1" t="s">
        <v>17</v>
      </c>
      <c r="V11" s="1" t="s">
        <v>18</v>
      </c>
      <c r="W11" s="1" t="s">
        <v>19</v>
      </c>
      <c r="X11" s="1" t="s">
        <v>20</v>
      </c>
      <c r="Y11" s="1" t="s">
        <v>21</v>
      </c>
      <c r="Z11" s="1" t="s">
        <v>187</v>
      </c>
      <c r="AA11" s="1" t="s">
        <v>23</v>
      </c>
      <c r="AB11" s="1" t="s">
        <v>24</v>
      </c>
      <c r="AC11" s="1" t="s">
        <v>25</v>
      </c>
      <c r="AD11" s="1" t="s">
        <v>26</v>
      </c>
      <c r="AE11" s="1" t="s">
        <v>27</v>
      </c>
    </row>
    <row r="12" spans="4:31" hidden="1" outlineLevel="1">
      <c r="D12" s="1" t="s">
        <v>417</v>
      </c>
      <c r="E12" s="2">
        <v>270</v>
      </c>
      <c r="F12" s="2">
        <v>1119</v>
      </c>
      <c r="G12" s="2">
        <v>1833</v>
      </c>
      <c r="H12" s="2">
        <v>1630</v>
      </c>
      <c r="I12" s="2">
        <v>692</v>
      </c>
      <c r="J12" s="2">
        <v>2660</v>
      </c>
      <c r="K12" s="2">
        <v>2041</v>
      </c>
      <c r="L12" s="2">
        <v>1678</v>
      </c>
      <c r="M12" s="2">
        <v>2532</v>
      </c>
      <c r="N12" s="2">
        <v>3475</v>
      </c>
      <c r="O12" s="2">
        <v>2501</v>
      </c>
      <c r="P12" s="2">
        <v>2666</v>
      </c>
      <c r="Q12" s="2">
        <v>2778</v>
      </c>
      <c r="R12" s="2">
        <v>4912</v>
      </c>
      <c r="S12" s="2">
        <v>3767</v>
      </c>
      <c r="T12" s="2">
        <v>6810</v>
      </c>
      <c r="U12" s="2">
        <v>5670</v>
      </c>
      <c r="V12" s="2">
        <v>4820</v>
      </c>
      <c r="W12" s="2">
        <v>15073</v>
      </c>
      <c r="X12" s="2">
        <v>10687</v>
      </c>
      <c r="Y12" s="2">
        <v>8342</v>
      </c>
    </row>
    <row r="13" spans="4:31" hidden="1" outlineLevel="1">
      <c r="D13" s="1" t="s">
        <v>416</v>
      </c>
      <c r="E13" s="44">
        <v>143</v>
      </c>
      <c r="F13" s="44">
        <v>506</v>
      </c>
      <c r="G13" s="44">
        <v>729</v>
      </c>
      <c r="H13" s="44">
        <v>671</v>
      </c>
      <c r="I13" s="44">
        <v>311</v>
      </c>
      <c r="J13" s="44">
        <v>1645</v>
      </c>
      <c r="K13" s="44">
        <v>1222</v>
      </c>
      <c r="L13" s="44">
        <v>1004</v>
      </c>
      <c r="M13" s="44">
        <v>1390</v>
      </c>
      <c r="N13" s="44">
        <v>1996</v>
      </c>
      <c r="O13" s="44">
        <v>1385</v>
      </c>
      <c r="P13" s="44">
        <v>1444</v>
      </c>
      <c r="Q13" s="44">
        <v>1562</v>
      </c>
      <c r="R13" s="44">
        <v>2841</v>
      </c>
      <c r="S13" s="44">
        <v>2102</v>
      </c>
      <c r="T13" s="44">
        <v>4256</v>
      </c>
      <c r="U13" s="44">
        <v>3438</v>
      </c>
      <c r="V13" s="44">
        <v>2851</v>
      </c>
      <c r="W13" s="44">
        <v>9393</v>
      </c>
      <c r="X13" s="44">
        <v>6678</v>
      </c>
      <c r="Y13" s="44">
        <v>5137</v>
      </c>
    </row>
    <row r="14" spans="4:31" hidden="1" outlineLevel="1">
      <c r="D14" s="1" t="s">
        <v>407</v>
      </c>
      <c r="E14" s="44">
        <f>E13/E12*1000</f>
        <v>529.62962962962968</v>
      </c>
      <c r="F14" s="44">
        <f t="shared" ref="F14:Y14" si="0">F13/F12*1000</f>
        <v>452.18945487041998</v>
      </c>
      <c r="G14" s="44">
        <f t="shared" si="0"/>
        <v>397.70867430441899</v>
      </c>
      <c r="H14" s="44">
        <f t="shared" si="0"/>
        <v>411.65644171779144</v>
      </c>
      <c r="I14" s="44">
        <f t="shared" si="0"/>
        <v>449.42196531791905</v>
      </c>
      <c r="J14" s="44">
        <f t="shared" si="0"/>
        <v>618.42105263157896</v>
      </c>
      <c r="K14" s="44">
        <f t="shared" si="0"/>
        <v>598.72611464968156</v>
      </c>
      <c r="L14" s="44">
        <f t="shared" si="0"/>
        <v>598.33134684147797</v>
      </c>
      <c r="M14" s="44">
        <f t="shared" si="0"/>
        <v>548.97314375987355</v>
      </c>
      <c r="N14" s="44">
        <f t="shared" si="0"/>
        <v>574.38848920863302</v>
      </c>
      <c r="O14" s="44">
        <f t="shared" si="0"/>
        <v>553.77848860455811</v>
      </c>
      <c r="P14" s="44">
        <f t="shared" si="0"/>
        <v>541.63540885221312</v>
      </c>
      <c r="Q14" s="44">
        <f t="shared" si="0"/>
        <v>562.2750179985602</v>
      </c>
      <c r="R14" s="44">
        <f t="shared" si="0"/>
        <v>578.37947882736148</v>
      </c>
      <c r="S14" s="44">
        <f t="shared" si="0"/>
        <v>558.00371648526686</v>
      </c>
      <c r="T14" s="44">
        <f t="shared" si="0"/>
        <v>624.96328928046989</v>
      </c>
      <c r="U14" s="44">
        <f t="shared" si="0"/>
        <v>606.34920634920627</v>
      </c>
      <c r="V14" s="44">
        <f t="shared" si="0"/>
        <v>591.49377593360998</v>
      </c>
      <c r="W14" s="44">
        <f t="shared" si="0"/>
        <v>623.16725270350958</v>
      </c>
      <c r="X14" s="44">
        <f t="shared" si="0"/>
        <v>624.87133901001209</v>
      </c>
      <c r="Y14" s="44">
        <f t="shared" si="0"/>
        <v>615.79956844881326</v>
      </c>
    </row>
    <row r="15" spans="4:31" s="188" customFormat="1" hidden="1" outlineLevel="1"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</row>
    <row r="16" spans="4:31" collapsed="1">
      <c r="D16" s="1" t="s">
        <v>415</v>
      </c>
      <c r="E16" s="2">
        <v>270</v>
      </c>
      <c r="F16" s="2">
        <v>1119</v>
      </c>
      <c r="G16" s="2">
        <v>2315</v>
      </c>
      <c r="H16" s="2">
        <v>1703</v>
      </c>
      <c r="I16" s="2">
        <v>717</v>
      </c>
      <c r="J16" s="2">
        <v>6892</v>
      </c>
      <c r="K16" s="2">
        <v>4363</v>
      </c>
      <c r="L16" s="2">
        <v>3793</v>
      </c>
      <c r="M16" s="2">
        <v>5208</v>
      </c>
      <c r="N16" s="2">
        <v>7367</v>
      </c>
      <c r="O16" s="2">
        <v>8737</v>
      </c>
      <c r="P16" s="2">
        <v>8752</v>
      </c>
      <c r="Q16" s="2">
        <v>8398</v>
      </c>
      <c r="R16" s="2">
        <v>14102</v>
      </c>
      <c r="S16" s="2">
        <v>16235</v>
      </c>
      <c r="T16" s="2">
        <v>18647</v>
      </c>
      <c r="U16" s="2">
        <v>20338</v>
      </c>
      <c r="V16" s="2">
        <v>17073</v>
      </c>
      <c r="W16" s="2">
        <v>37044</v>
      </c>
      <c r="X16" s="2">
        <v>35064</v>
      </c>
      <c r="Y16" s="2">
        <v>26000</v>
      </c>
      <c r="Z16" s="2">
        <v>26910</v>
      </c>
      <c r="AA16" s="2">
        <v>47789</v>
      </c>
      <c r="AB16" s="2">
        <v>37430</v>
      </c>
      <c r="AC16" s="2">
        <v>31200</v>
      </c>
    </row>
    <row r="17" spans="4:31">
      <c r="D17" s="1" t="s">
        <v>414</v>
      </c>
      <c r="E17" s="44">
        <v>141</v>
      </c>
      <c r="F17" s="44">
        <v>489</v>
      </c>
      <c r="G17" s="44">
        <v>1036</v>
      </c>
      <c r="H17" s="44">
        <v>817</v>
      </c>
      <c r="I17" s="44">
        <v>483</v>
      </c>
      <c r="J17" s="44">
        <v>4406</v>
      </c>
      <c r="K17" s="44">
        <v>2940</v>
      </c>
      <c r="L17" s="44">
        <v>2427</v>
      </c>
      <c r="M17" s="44">
        <v>3060</v>
      </c>
      <c r="N17" s="44">
        <v>4606</v>
      </c>
      <c r="O17" s="44">
        <v>5578</v>
      </c>
      <c r="P17" s="44">
        <v>5445</v>
      </c>
      <c r="Q17" s="44">
        <v>5334</v>
      </c>
      <c r="R17" s="44">
        <v>8822</v>
      </c>
      <c r="S17" s="44">
        <v>10468</v>
      </c>
      <c r="T17" s="44">
        <v>12298</v>
      </c>
      <c r="U17" s="44">
        <v>13311</v>
      </c>
      <c r="V17" s="44">
        <v>10980</v>
      </c>
      <c r="W17" s="44">
        <v>24417</v>
      </c>
      <c r="X17" s="44">
        <v>22690</v>
      </c>
      <c r="Y17" s="44">
        <v>16245</v>
      </c>
      <c r="Z17" s="44">
        <v>17125</v>
      </c>
      <c r="AA17" s="44">
        <v>30660</v>
      </c>
      <c r="AB17" s="44">
        <v>22955</v>
      </c>
    </row>
    <row r="18" spans="4:31">
      <c r="D18" s="1" t="s">
        <v>407</v>
      </c>
      <c r="E18" s="44">
        <f>E17/E16*1000</f>
        <v>522.22222222222229</v>
      </c>
      <c r="F18" s="44">
        <f t="shared" ref="F18:AB18" si="1">F17/F16*1000</f>
        <v>436.99731903485258</v>
      </c>
      <c r="G18" s="44">
        <f t="shared" si="1"/>
        <v>447.51619870410372</v>
      </c>
      <c r="H18" s="44">
        <f t="shared" si="1"/>
        <v>479.74163241338812</v>
      </c>
      <c r="I18" s="44">
        <f t="shared" si="1"/>
        <v>673.64016736401675</v>
      </c>
      <c r="J18" s="44">
        <f t="shared" si="1"/>
        <v>639.29193267556582</v>
      </c>
      <c r="K18" s="44">
        <f t="shared" si="1"/>
        <v>673.84826953930781</v>
      </c>
      <c r="L18" s="44">
        <f t="shared" si="1"/>
        <v>639.86290535196406</v>
      </c>
      <c r="M18" s="44">
        <f t="shared" si="1"/>
        <v>587.55760368663584</v>
      </c>
      <c r="N18" s="44">
        <f t="shared" si="1"/>
        <v>625.22057825437764</v>
      </c>
      <c r="O18" s="44">
        <f t="shared" si="1"/>
        <v>638.43424516424409</v>
      </c>
      <c r="P18" s="44">
        <f t="shared" si="1"/>
        <v>622.14351005484457</v>
      </c>
      <c r="Q18" s="44">
        <f t="shared" si="1"/>
        <v>635.15122648249576</v>
      </c>
      <c r="R18" s="44">
        <f t="shared" si="1"/>
        <v>625.58502340093605</v>
      </c>
      <c r="S18" s="44">
        <f t="shared" si="1"/>
        <v>644.77979673544803</v>
      </c>
      <c r="T18" s="44">
        <f t="shared" si="1"/>
        <v>659.51627607658065</v>
      </c>
      <c r="U18" s="44">
        <f t="shared" si="1"/>
        <v>654.48913364145938</v>
      </c>
      <c r="V18" s="44">
        <f t="shared" si="1"/>
        <v>643.12071692145491</v>
      </c>
      <c r="W18" s="44">
        <f t="shared" si="1"/>
        <v>659.13508260447043</v>
      </c>
      <c r="X18" s="44">
        <f t="shared" si="1"/>
        <v>647.10244125028521</v>
      </c>
      <c r="Y18" s="44">
        <f t="shared" si="1"/>
        <v>624.80769230769226</v>
      </c>
      <c r="Z18" s="44">
        <f t="shared" si="1"/>
        <v>636.38052768487557</v>
      </c>
      <c r="AA18" s="44">
        <f t="shared" si="1"/>
        <v>641.57023582832869</v>
      </c>
      <c r="AB18" s="44">
        <f t="shared" si="1"/>
        <v>613.27811915575739</v>
      </c>
      <c r="AC18" s="190">
        <v>581</v>
      </c>
    </row>
    <row r="19" spans="4:31">
      <c r="E19" s="44"/>
      <c r="F19" s="44"/>
      <c r="G19" s="44"/>
      <c r="H19" s="44"/>
      <c r="I19" s="44"/>
      <c r="J19" s="44"/>
      <c r="K19" s="44"/>
      <c r="L19" s="44">
        <f>MAX(L18:Y18)</f>
        <v>659.51627607658065</v>
      </c>
      <c r="M19" s="44">
        <f>MIN(L18:Y18)</f>
        <v>587.55760368663584</v>
      </c>
      <c r="N19" s="44"/>
      <c r="O19" s="44"/>
      <c r="P19" s="44"/>
      <c r="Q19" s="44"/>
      <c r="R19" s="44"/>
      <c r="S19" s="44"/>
      <c r="T19" s="44"/>
      <c r="U19" s="191">
        <f>U16/Q16-1</f>
        <v>1.4217670874017623</v>
      </c>
      <c r="V19" s="191">
        <f t="shared" ref="V19:AB19" si="2">V16/R16-1</f>
        <v>0.21067933626435975</v>
      </c>
      <c r="W19" s="191">
        <f t="shared" si="2"/>
        <v>1.2817369879889129</v>
      </c>
      <c r="X19" s="191">
        <f t="shared" si="2"/>
        <v>0.88040971738081186</v>
      </c>
      <c r="Y19" s="191">
        <f t="shared" si="2"/>
        <v>0.27839512243091757</v>
      </c>
      <c r="Z19" s="191">
        <f t="shared" si="2"/>
        <v>0.57617290458618875</v>
      </c>
      <c r="AA19" s="191">
        <f t="shared" si="2"/>
        <v>0.29006046863189727</v>
      </c>
      <c r="AB19" s="191">
        <f t="shared" si="2"/>
        <v>6.7476614191193329E-2</v>
      </c>
    </row>
    <row r="20" spans="4:31">
      <c r="E20" s="191">
        <f>E12/E16</f>
        <v>1</v>
      </c>
      <c r="F20" s="191">
        <f t="shared" ref="F20:Y21" si="3">F12/F16</f>
        <v>1</v>
      </c>
      <c r="G20" s="191">
        <f t="shared" si="3"/>
        <v>0.791792656587473</v>
      </c>
      <c r="H20" s="191">
        <f t="shared" si="3"/>
        <v>0.9571344685848503</v>
      </c>
      <c r="I20" s="191">
        <f t="shared" si="3"/>
        <v>0.96513249651324962</v>
      </c>
      <c r="J20" s="191">
        <f t="shared" si="3"/>
        <v>0.38595473012188042</v>
      </c>
      <c r="K20" s="191">
        <f t="shared" si="3"/>
        <v>0.46779738711895485</v>
      </c>
      <c r="L20" s="191">
        <f t="shared" si="3"/>
        <v>0.44239388346954917</v>
      </c>
      <c r="M20" s="191">
        <f t="shared" si="3"/>
        <v>0.48617511520737328</v>
      </c>
      <c r="N20" s="191">
        <f t="shared" si="3"/>
        <v>0.47169811320754718</v>
      </c>
      <c r="O20" s="191">
        <f t="shared" si="3"/>
        <v>0.28625386288199611</v>
      </c>
      <c r="P20" s="191">
        <f t="shared" si="3"/>
        <v>0.30461608775137111</v>
      </c>
      <c r="Q20" s="191">
        <f t="shared" si="3"/>
        <v>0.33079304596332459</v>
      </c>
      <c r="R20" s="191">
        <f t="shared" si="3"/>
        <v>0.34831938732094736</v>
      </c>
      <c r="S20" s="191">
        <f t="shared" si="3"/>
        <v>0.23202956575300276</v>
      </c>
      <c r="T20" s="191">
        <f t="shared" si="3"/>
        <v>0.36520619938864163</v>
      </c>
      <c r="U20" s="191">
        <f t="shared" si="3"/>
        <v>0.27878847477628088</v>
      </c>
      <c r="V20" s="191">
        <f t="shared" si="3"/>
        <v>0.28231710888537459</v>
      </c>
      <c r="W20" s="191">
        <f t="shared" si="3"/>
        <v>0.40689450383327935</v>
      </c>
      <c r="X20" s="191">
        <f t="shared" si="3"/>
        <v>0.30478553502167466</v>
      </c>
      <c r="Y20" s="191">
        <f t="shared" si="3"/>
        <v>0.32084615384615384</v>
      </c>
      <c r="AB20" s="191">
        <f>AB18/AA18-1</f>
        <v>-4.4098237562475884E-2</v>
      </c>
    </row>
    <row r="21" spans="4:31">
      <c r="E21" s="191">
        <f>E13/E17</f>
        <v>1.0141843971631206</v>
      </c>
      <c r="F21" s="191">
        <f t="shared" si="3"/>
        <v>1.0347648261758691</v>
      </c>
      <c r="G21" s="191">
        <f t="shared" si="3"/>
        <v>0.70366795366795365</v>
      </c>
      <c r="H21" s="191">
        <f t="shared" si="3"/>
        <v>0.82129742962056307</v>
      </c>
      <c r="I21" s="191">
        <f t="shared" si="3"/>
        <v>0.64389233954451341</v>
      </c>
      <c r="J21" s="191">
        <f t="shared" si="3"/>
        <v>0.37335451656831592</v>
      </c>
      <c r="K21" s="191">
        <f t="shared" si="3"/>
        <v>0.41564625850340137</v>
      </c>
      <c r="L21" s="191">
        <f t="shared" si="3"/>
        <v>0.41367943963741244</v>
      </c>
      <c r="M21" s="191">
        <f t="shared" si="3"/>
        <v>0.45424836601307189</v>
      </c>
      <c r="N21" s="191">
        <f t="shared" si="3"/>
        <v>0.4333478072079896</v>
      </c>
      <c r="O21" s="191">
        <f t="shared" si="3"/>
        <v>0.24829688060236643</v>
      </c>
      <c r="P21" s="191">
        <f t="shared" si="3"/>
        <v>0.26519742883379249</v>
      </c>
      <c r="Q21" s="191">
        <f t="shared" si="3"/>
        <v>0.2928383952005999</v>
      </c>
      <c r="R21" s="191">
        <f t="shared" si="3"/>
        <v>0.32203581954205396</v>
      </c>
      <c r="S21" s="191">
        <f t="shared" si="3"/>
        <v>0.20080244554833779</v>
      </c>
      <c r="T21" s="191">
        <f t="shared" si="3"/>
        <v>0.34607253211904376</v>
      </c>
      <c r="U21" s="191">
        <f t="shared" si="3"/>
        <v>0.25828262339418528</v>
      </c>
      <c r="V21" s="191">
        <f t="shared" si="3"/>
        <v>0.25965391621129325</v>
      </c>
      <c r="W21" s="191">
        <f t="shared" si="3"/>
        <v>0.38469099397960438</v>
      </c>
      <c r="X21" s="191">
        <f t="shared" si="3"/>
        <v>0.29431467606875278</v>
      </c>
      <c r="Y21" s="191">
        <f t="shared" si="3"/>
        <v>0.31622037550015392</v>
      </c>
    </row>
    <row r="23" spans="4:31" hidden="1" outlineLevel="1">
      <c r="D23" s="1" t="s">
        <v>413</v>
      </c>
      <c r="Q23" s="1">
        <v>90</v>
      </c>
      <c r="R23" s="1">
        <v>2539</v>
      </c>
      <c r="S23" s="1">
        <v>2228</v>
      </c>
      <c r="T23" s="1">
        <v>1938</v>
      </c>
      <c r="U23" s="1">
        <v>4272</v>
      </c>
      <c r="V23" s="1">
        <v>2673</v>
      </c>
      <c r="W23" s="1">
        <v>2975</v>
      </c>
      <c r="X23" s="1">
        <v>2535</v>
      </c>
      <c r="Y23" s="1">
        <v>2001</v>
      </c>
    </row>
    <row r="24" spans="4:31" hidden="1" outlineLevel="1">
      <c r="D24" s="1" t="s">
        <v>412</v>
      </c>
      <c r="Q24" s="1">
        <v>23</v>
      </c>
      <c r="R24" s="1">
        <v>1056</v>
      </c>
      <c r="S24" s="1">
        <v>915</v>
      </c>
      <c r="T24" s="1">
        <v>738</v>
      </c>
      <c r="U24" s="1">
        <v>1411</v>
      </c>
      <c r="V24" s="1">
        <v>786</v>
      </c>
      <c r="W24" s="1">
        <v>1071</v>
      </c>
      <c r="X24" s="1">
        <v>838</v>
      </c>
      <c r="Y24" s="1">
        <v>678</v>
      </c>
    </row>
    <row r="25" spans="4:31" hidden="1" outlineLevel="1">
      <c r="D25" s="1" t="s">
        <v>407</v>
      </c>
      <c r="Q25" s="44">
        <f t="shared" ref="Q25:Y25" si="4">Q24/Q23*1000</f>
        <v>255.55555555555554</v>
      </c>
      <c r="R25" s="44">
        <f t="shared" si="4"/>
        <v>415.91177628987793</v>
      </c>
      <c r="S25" s="44">
        <f t="shared" si="4"/>
        <v>410.68222621184918</v>
      </c>
      <c r="T25" s="44">
        <f t="shared" si="4"/>
        <v>380.80495356037153</v>
      </c>
      <c r="U25" s="44">
        <f t="shared" si="4"/>
        <v>330.29026217228466</v>
      </c>
      <c r="V25" s="44">
        <f t="shared" si="4"/>
        <v>294.05162738496074</v>
      </c>
      <c r="W25" s="44">
        <f t="shared" si="4"/>
        <v>360</v>
      </c>
      <c r="X25" s="44">
        <f t="shared" si="4"/>
        <v>330.57199211045361</v>
      </c>
      <c r="Y25" s="44">
        <f t="shared" si="4"/>
        <v>338.83058470764615</v>
      </c>
    </row>
    <row r="26" spans="4:31" hidden="1" outlineLevel="1">
      <c r="Q26" s="44"/>
      <c r="R26" s="44"/>
      <c r="S26" s="44"/>
      <c r="T26" s="44"/>
      <c r="U26" s="44"/>
      <c r="V26" s="44"/>
      <c r="W26" s="44"/>
      <c r="X26" s="44"/>
      <c r="Y26" s="44"/>
    </row>
    <row r="27" spans="4:31" hidden="1" outlineLevel="1"/>
    <row r="28" spans="4:31" hidden="1" outlineLevel="1">
      <c r="D28" s="1" t="s">
        <v>411</v>
      </c>
      <c r="Q28" s="2">
        <v>2294</v>
      </c>
      <c r="R28" s="2">
        <v>1969</v>
      </c>
      <c r="S28" s="2">
        <v>3597</v>
      </c>
      <c r="T28" s="2">
        <v>1914</v>
      </c>
      <c r="U28" s="2">
        <v>4293</v>
      </c>
      <c r="V28" s="2">
        <v>3795</v>
      </c>
      <c r="W28" s="2">
        <v>5967</v>
      </c>
      <c r="X28" s="2">
        <v>4460</v>
      </c>
      <c r="Y28" s="2">
        <v>5713</v>
      </c>
    </row>
    <row r="29" spans="4:31" hidden="1" outlineLevel="1">
      <c r="D29" s="1" t="s">
        <v>410</v>
      </c>
      <c r="Q29" s="1">
        <v>1398</v>
      </c>
      <c r="R29" s="1">
        <v>1223</v>
      </c>
      <c r="S29" s="1">
        <v>2065</v>
      </c>
      <c r="T29" s="1">
        <v>1067</v>
      </c>
      <c r="U29" s="1">
        <v>2583</v>
      </c>
      <c r="V29" s="1">
        <v>2172</v>
      </c>
      <c r="W29" s="1">
        <v>3288</v>
      </c>
      <c r="X29" s="1">
        <v>2387</v>
      </c>
      <c r="Y29" s="1">
        <v>2891</v>
      </c>
    </row>
    <row r="30" spans="4:31" hidden="1" outlineLevel="1">
      <c r="D30" s="1" t="s">
        <v>407</v>
      </c>
      <c r="Q30" s="44">
        <f t="shared" ref="Q30:Y30" si="5">Q29/Q28*1000</f>
        <v>609.41586748038355</v>
      </c>
      <c r="R30" s="44">
        <f t="shared" si="5"/>
        <v>621.12747587607919</v>
      </c>
      <c r="S30" s="44">
        <f t="shared" si="5"/>
        <v>574.08951904364744</v>
      </c>
      <c r="T30" s="44">
        <f t="shared" si="5"/>
        <v>557.47126436781616</v>
      </c>
      <c r="U30" s="44">
        <f t="shared" si="5"/>
        <v>601.67714884696022</v>
      </c>
      <c r="V30" s="44">
        <f t="shared" si="5"/>
        <v>572.33201581027674</v>
      </c>
      <c r="W30" s="44">
        <f t="shared" si="5"/>
        <v>551.03066867772759</v>
      </c>
      <c r="X30" s="44">
        <f t="shared" si="5"/>
        <v>535.2017937219731</v>
      </c>
      <c r="Y30" s="44">
        <f t="shared" si="5"/>
        <v>506.03885874321719</v>
      </c>
    </row>
    <row r="31" spans="4:31" hidden="1" outlineLevel="1">
      <c r="D31" s="188"/>
    </row>
    <row r="32" spans="4:31" collapsed="1">
      <c r="D32" s="1" t="s">
        <v>409</v>
      </c>
      <c r="Q32" s="2">
        <v>3270</v>
      </c>
      <c r="R32" s="2">
        <v>4188</v>
      </c>
      <c r="S32" s="2">
        <v>7331</v>
      </c>
      <c r="T32" s="2">
        <v>4694</v>
      </c>
      <c r="U32" s="2">
        <v>9246</v>
      </c>
      <c r="V32" s="2">
        <v>11123</v>
      </c>
      <c r="W32" s="2">
        <v>15434</v>
      </c>
      <c r="X32" s="2">
        <v>11798</v>
      </c>
      <c r="Y32" s="2">
        <v>17042</v>
      </c>
      <c r="Z32" s="2">
        <v>14036</v>
      </c>
      <c r="AA32" s="2">
        <v>22900</v>
      </c>
      <c r="AB32" s="2">
        <v>19477</v>
      </c>
      <c r="AC32" s="2">
        <v>14600</v>
      </c>
      <c r="AD32" s="2">
        <v>14100</v>
      </c>
      <c r="AE32" s="2">
        <v>26000</v>
      </c>
    </row>
    <row r="33" spans="4:31">
      <c r="D33" s="1" t="s">
        <v>408</v>
      </c>
      <c r="Q33" s="44">
        <v>2166</v>
      </c>
      <c r="R33" s="44">
        <v>2792</v>
      </c>
      <c r="S33" s="44">
        <v>4608</v>
      </c>
      <c r="T33" s="44">
        <v>2836</v>
      </c>
      <c r="U33" s="44">
        <v>6046</v>
      </c>
      <c r="V33" s="44">
        <v>6868</v>
      </c>
      <c r="W33" s="44">
        <v>9153</v>
      </c>
      <c r="X33" s="44">
        <v>6264</v>
      </c>
      <c r="Y33" s="44">
        <v>9171</v>
      </c>
      <c r="Z33" s="44">
        <v>7510</v>
      </c>
      <c r="AA33" s="44">
        <v>10674</v>
      </c>
      <c r="AB33" s="44">
        <v>8746</v>
      </c>
    </row>
    <row r="34" spans="4:31">
      <c r="D34" s="1" t="s">
        <v>407</v>
      </c>
      <c r="Q34" s="44">
        <f t="shared" ref="Q34:AB34" si="6">Q33/Q32*1000</f>
        <v>662.38532110091739</v>
      </c>
      <c r="R34" s="44">
        <f t="shared" si="6"/>
        <v>666.66666666666663</v>
      </c>
      <c r="S34" s="44">
        <f t="shared" si="6"/>
        <v>628.56363388350849</v>
      </c>
      <c r="T34" s="44">
        <f t="shared" si="6"/>
        <v>604.17554324669788</v>
      </c>
      <c r="U34" s="44">
        <f t="shared" si="6"/>
        <v>653.9043910880381</v>
      </c>
      <c r="V34" s="44">
        <f t="shared" si="6"/>
        <v>617.45931852917374</v>
      </c>
      <c r="W34" s="44">
        <f t="shared" si="6"/>
        <v>593.04133730724368</v>
      </c>
      <c r="X34" s="44">
        <f t="shared" si="6"/>
        <v>530.93744702491949</v>
      </c>
      <c r="Y34" s="44">
        <f t="shared" si="6"/>
        <v>538.14106325548653</v>
      </c>
      <c r="Z34" s="44">
        <f t="shared" si="6"/>
        <v>535.05272157309776</v>
      </c>
      <c r="AA34" s="44">
        <f t="shared" si="6"/>
        <v>466.11353711790395</v>
      </c>
      <c r="AB34" s="44">
        <f t="shared" si="6"/>
        <v>449.04246033783437</v>
      </c>
      <c r="AC34" s="190">
        <v>436</v>
      </c>
    </row>
    <row r="35" spans="4:31">
      <c r="U35" s="191">
        <f>U32/Q32-1</f>
        <v>1.8275229357798164</v>
      </c>
      <c r="V35" s="191">
        <f t="shared" ref="V35:AB35" si="7">V32/R32-1</f>
        <v>1.6559216809933144</v>
      </c>
      <c r="W35" s="191">
        <f t="shared" si="7"/>
        <v>1.1053062338016644</v>
      </c>
      <c r="X35" s="191">
        <f t="shared" si="7"/>
        <v>1.5134213890072434</v>
      </c>
      <c r="Y35" s="191">
        <f t="shared" si="7"/>
        <v>0.8431754272117673</v>
      </c>
      <c r="Z35" s="191">
        <f t="shared" si="7"/>
        <v>0.26188977793760682</v>
      </c>
      <c r="AA35" s="191">
        <f t="shared" si="7"/>
        <v>0.48373720357651928</v>
      </c>
      <c r="AB35" s="191">
        <f t="shared" si="7"/>
        <v>0.65087302932700464</v>
      </c>
    </row>
    <row r="36" spans="4:31">
      <c r="Q36" s="191">
        <f>Q28/Q32</f>
        <v>0.7015290519877676</v>
      </c>
      <c r="R36" s="191">
        <f t="shared" ref="R36:Y37" si="8">R28/R32</f>
        <v>0.470152817574021</v>
      </c>
      <c r="S36" s="191">
        <f t="shared" si="8"/>
        <v>0.49065611785568136</v>
      </c>
      <c r="T36" s="191">
        <f t="shared" si="8"/>
        <v>0.4077545803152961</v>
      </c>
      <c r="U36" s="191">
        <f t="shared" si="8"/>
        <v>0.46430889033095391</v>
      </c>
      <c r="V36" s="191">
        <f t="shared" si="8"/>
        <v>0.34118493212262879</v>
      </c>
      <c r="W36" s="191">
        <f t="shared" si="8"/>
        <v>0.38661396915899959</v>
      </c>
      <c r="X36" s="191">
        <f t="shared" si="8"/>
        <v>0.37803017460586541</v>
      </c>
      <c r="Y36" s="191">
        <f t="shared" si="8"/>
        <v>0.33523060673629856</v>
      </c>
      <c r="AA36" s="191">
        <f>AA34/Z34-1</f>
        <v>-0.12884559161292952</v>
      </c>
      <c r="AB36" s="191">
        <f>AB34/AA34-1</f>
        <v>-3.6624288763686841E-2</v>
      </c>
    </row>
    <row r="37" spans="4:31">
      <c r="Q37" s="191">
        <f>Q29/Q33</f>
        <v>0.64542936288088648</v>
      </c>
      <c r="R37" s="191">
        <f t="shared" si="8"/>
        <v>0.43803724928366761</v>
      </c>
      <c r="S37" s="191">
        <f t="shared" si="8"/>
        <v>0.44813368055555558</v>
      </c>
      <c r="T37" s="191">
        <f t="shared" si="8"/>
        <v>0.37623413258110017</v>
      </c>
      <c r="U37" s="191">
        <f t="shared" si="8"/>
        <v>0.42722461131326495</v>
      </c>
      <c r="V37" s="191">
        <f t="shared" si="8"/>
        <v>0.31624927198602215</v>
      </c>
      <c r="W37" s="191">
        <f t="shared" si="8"/>
        <v>0.35922648312028843</v>
      </c>
      <c r="X37" s="191">
        <f t="shared" si="8"/>
        <v>0.38106641123882501</v>
      </c>
      <c r="Y37" s="191">
        <f t="shared" si="8"/>
        <v>0.31523279904045359</v>
      </c>
    </row>
    <row r="39" spans="4:31">
      <c r="I39" s="191">
        <f>I16/E16-1</f>
        <v>1.6555555555555554</v>
      </c>
      <c r="J39" s="191">
        <f t="shared" ref="J39:AB39" si="9">J16/F16-1</f>
        <v>5.1590705987488832</v>
      </c>
      <c r="K39" s="191">
        <f t="shared" si="9"/>
        <v>0.88466522678185755</v>
      </c>
      <c r="L39" s="191">
        <f t="shared" si="9"/>
        <v>1.2272460364063416</v>
      </c>
      <c r="M39" s="191">
        <f t="shared" si="9"/>
        <v>6.2635983263598325</v>
      </c>
      <c r="N39" s="191">
        <f t="shared" si="9"/>
        <v>6.8920487521764384E-2</v>
      </c>
      <c r="O39" s="191">
        <f t="shared" si="9"/>
        <v>1.0025212010084803</v>
      </c>
      <c r="P39" s="191">
        <f t="shared" si="9"/>
        <v>1.3074083838650146</v>
      </c>
      <c r="Q39" s="191">
        <f t="shared" si="9"/>
        <v>0.61251920122887871</v>
      </c>
      <c r="R39" s="191">
        <f t="shared" si="9"/>
        <v>0.91421202660513101</v>
      </c>
      <c r="S39" s="191">
        <f t="shared" si="9"/>
        <v>0.85818930983175012</v>
      </c>
      <c r="T39" s="191">
        <f t="shared" si="9"/>
        <v>1.1305987202925047</v>
      </c>
      <c r="U39" s="191">
        <f t="shared" si="9"/>
        <v>1.4217670874017623</v>
      </c>
      <c r="V39" s="191">
        <f t="shared" si="9"/>
        <v>0.21067933626435975</v>
      </c>
      <c r="W39" s="191">
        <f t="shared" si="9"/>
        <v>1.2817369879889129</v>
      </c>
      <c r="X39" s="191">
        <f t="shared" si="9"/>
        <v>0.88040971738081186</v>
      </c>
      <c r="Y39" s="191">
        <f t="shared" si="9"/>
        <v>0.27839512243091757</v>
      </c>
      <c r="Z39" s="191">
        <f t="shared" si="9"/>
        <v>0.57617290458618875</v>
      </c>
      <c r="AA39" s="191">
        <f t="shared" si="9"/>
        <v>0.29006046863189727</v>
      </c>
      <c r="AB39" s="191">
        <f t="shared" si="9"/>
        <v>6.7476614191193329E-2</v>
      </c>
      <c r="AC39" s="36">
        <v>0.2</v>
      </c>
    </row>
    <row r="40" spans="4:31">
      <c r="U40" s="191">
        <f>U32/Q32-1</f>
        <v>1.8275229357798164</v>
      </c>
      <c r="V40" s="191">
        <f t="shared" ref="V40:AB40" si="10">V32/R32-1</f>
        <v>1.6559216809933144</v>
      </c>
      <c r="W40" s="191">
        <f t="shared" si="10"/>
        <v>1.1053062338016644</v>
      </c>
      <c r="X40" s="191">
        <f t="shared" si="10"/>
        <v>1.5134213890072434</v>
      </c>
      <c r="Y40" s="191">
        <f t="shared" si="10"/>
        <v>0.8431754272117673</v>
      </c>
      <c r="Z40" s="191">
        <f t="shared" si="10"/>
        <v>0.26188977793760682</v>
      </c>
      <c r="AA40" s="191">
        <f t="shared" si="10"/>
        <v>0.48373720357651928</v>
      </c>
      <c r="AB40" s="191">
        <f t="shared" si="10"/>
        <v>0.65087302932700464</v>
      </c>
      <c r="AC40" s="36">
        <v>-0.14000000000000001</v>
      </c>
      <c r="AD40" s="9">
        <f>AD32/Z32-1</f>
        <v>4.5597036192648321E-3</v>
      </c>
      <c r="AE40" s="9">
        <f>AE32/AA32-1</f>
        <v>0.13537117903930129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8"/>
  <sheetViews>
    <sheetView topLeftCell="F1" workbookViewId="0">
      <selection activeCell="F1" sqref="A1:XFD1048576"/>
    </sheetView>
  </sheetViews>
  <sheetFormatPr baseColWidth="10" defaultRowHeight="13" x14ac:dyDescent="0"/>
  <cols>
    <col min="1" max="1" width="10.83203125" style="192"/>
    <col min="2" max="2" width="20.1640625" style="192" customWidth="1"/>
    <col min="3" max="16" width="15.5" style="192" customWidth="1"/>
    <col min="17" max="17" width="14.6640625" style="192" bestFit="1" customWidth="1"/>
    <col min="18" max="18" width="16.1640625" style="192" bestFit="1" customWidth="1"/>
    <col min="19" max="19" width="12.5" style="192" bestFit="1" customWidth="1"/>
    <col min="20" max="20" width="15.33203125" style="192" bestFit="1" customWidth="1"/>
    <col min="21" max="22" width="15.33203125" style="192" customWidth="1"/>
    <col min="23" max="23" width="13.6640625" style="192" bestFit="1" customWidth="1"/>
    <col min="24" max="24" width="10.83203125" style="192"/>
    <col min="25" max="25" width="12.5" style="192" bestFit="1" customWidth="1"/>
    <col min="26" max="16384" width="10.83203125" style="192"/>
  </cols>
  <sheetData>
    <row r="1" spans="1:25">
      <c r="A1" s="192" t="s">
        <v>418</v>
      </c>
    </row>
    <row r="2" spans="1:25">
      <c r="W2" s="192" t="s">
        <v>419</v>
      </c>
    </row>
    <row r="3" spans="1:25" ht="15">
      <c r="B3" s="193"/>
      <c r="C3" s="193" t="s">
        <v>8</v>
      </c>
      <c r="D3" s="193" t="s">
        <v>9</v>
      </c>
      <c r="E3" s="193" t="s">
        <v>10</v>
      </c>
      <c r="F3" s="193" t="s">
        <v>11</v>
      </c>
      <c r="G3" s="193" t="s">
        <v>12</v>
      </c>
      <c r="H3" s="193" t="s">
        <v>13</v>
      </c>
      <c r="I3" s="193" t="s">
        <v>14</v>
      </c>
      <c r="J3" s="193" t="s">
        <v>15</v>
      </c>
      <c r="K3" s="193" t="s">
        <v>16</v>
      </c>
      <c r="L3" s="193" t="s">
        <v>17</v>
      </c>
      <c r="M3" s="193" t="s">
        <v>18</v>
      </c>
      <c r="N3" s="193" t="s">
        <v>19</v>
      </c>
      <c r="O3" s="193" t="s">
        <v>420</v>
      </c>
      <c r="P3" s="194" t="s">
        <v>21</v>
      </c>
      <c r="Q3" s="194" t="s">
        <v>187</v>
      </c>
      <c r="R3" s="194" t="s">
        <v>23</v>
      </c>
      <c r="S3" s="194" t="s">
        <v>24</v>
      </c>
      <c r="T3" s="192" t="s">
        <v>25</v>
      </c>
      <c r="U3" s="192" t="s">
        <v>26</v>
      </c>
      <c r="V3" s="192" t="s">
        <v>27</v>
      </c>
    </row>
    <row r="4" spans="1:25"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S4" s="104"/>
      <c r="V4" s="195">
        <f>V5/R5-1</f>
        <v>0.36065573770491799</v>
      </c>
    </row>
    <row r="5" spans="1:25" ht="16">
      <c r="A5" s="193"/>
      <c r="B5" s="193" t="s">
        <v>349</v>
      </c>
      <c r="C5" s="196">
        <v>0</v>
      </c>
      <c r="D5" s="196">
        <v>0</v>
      </c>
      <c r="E5" s="196">
        <v>0</v>
      </c>
      <c r="F5" s="196">
        <v>0</v>
      </c>
      <c r="G5" s="196">
        <v>0</v>
      </c>
      <c r="H5" s="196">
        <v>100000</v>
      </c>
      <c r="I5" s="196">
        <v>100000</v>
      </c>
      <c r="J5" s="196">
        <f>0.22*9700000</f>
        <v>2134000</v>
      </c>
      <c r="K5" s="196">
        <f>0.34*7200000</f>
        <v>2448000</v>
      </c>
      <c r="L5" s="196">
        <f>0.268*(13600000)</f>
        <v>3644800</v>
      </c>
      <c r="M5" s="196">
        <v>4500000</v>
      </c>
      <c r="N5" s="196">
        <v>10500000</v>
      </c>
      <c r="O5" s="196">
        <v>2656000</v>
      </c>
      <c r="P5" s="196">
        <f>7300000-P7-P9</f>
        <v>5923000</v>
      </c>
      <c r="Q5" s="196">
        <v>10200000</v>
      </c>
      <c r="R5" s="196">
        <f>30500000</f>
        <v>30500000</v>
      </c>
      <c r="S5" s="197">
        <v>25466750</v>
      </c>
      <c r="T5" s="198">
        <v>32819000</v>
      </c>
      <c r="U5" s="198">
        <v>31609797</v>
      </c>
      <c r="V5" s="198">
        <v>41500000</v>
      </c>
      <c r="W5" s="192" t="s">
        <v>421</v>
      </c>
      <c r="Y5" s="199">
        <f>34600000-(T9+T7)</f>
        <v>32819000</v>
      </c>
    </row>
    <row r="6" spans="1:25" ht="16">
      <c r="A6" s="193"/>
      <c r="B6" s="193" t="s">
        <v>49</v>
      </c>
      <c r="C6" s="196">
        <v>0</v>
      </c>
      <c r="D6" s="196">
        <v>0</v>
      </c>
      <c r="E6" s="196">
        <v>0</v>
      </c>
      <c r="F6" s="196">
        <v>0</v>
      </c>
      <c r="G6" s="196">
        <v>0</v>
      </c>
      <c r="H6" s="196">
        <v>3270000</v>
      </c>
      <c r="I6" s="196">
        <v>4190000</v>
      </c>
      <c r="J6" s="196">
        <v>7330000</v>
      </c>
      <c r="K6" s="196">
        <v>4690000</v>
      </c>
      <c r="L6" s="196">
        <v>9250000</v>
      </c>
      <c r="M6" s="196">
        <v>11120000</v>
      </c>
      <c r="N6" s="196">
        <v>15434000</v>
      </c>
      <c r="O6" s="196">
        <v>11798000</v>
      </c>
      <c r="P6" s="196">
        <v>17042000</v>
      </c>
      <c r="Q6" s="196">
        <v>14030000</v>
      </c>
      <c r="R6" s="196">
        <v>22900000</v>
      </c>
      <c r="S6" s="197">
        <v>19477000</v>
      </c>
      <c r="T6" s="198">
        <v>14617000</v>
      </c>
      <c r="U6" s="198">
        <v>14100000</v>
      </c>
      <c r="V6" s="198">
        <v>26000000</v>
      </c>
      <c r="W6" s="192" t="s">
        <v>421</v>
      </c>
    </row>
    <row r="7" spans="1:25" ht="16">
      <c r="A7" s="193"/>
      <c r="B7" s="193" t="s">
        <v>422</v>
      </c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>
        <v>4750000</v>
      </c>
      <c r="O7" s="196">
        <v>1185000</v>
      </c>
      <c r="P7" s="196">
        <v>1027000</v>
      </c>
      <c r="Q7" s="196">
        <v>2100000</v>
      </c>
      <c r="R7" s="196">
        <v>6000000</v>
      </c>
      <c r="S7" s="197">
        <v>1800000</v>
      </c>
      <c r="T7" s="198">
        <v>1550000</v>
      </c>
      <c r="U7" s="198">
        <v>2500000</v>
      </c>
      <c r="V7" s="198">
        <v>5800000</v>
      </c>
      <c r="W7" s="192" t="s">
        <v>423</v>
      </c>
    </row>
    <row r="8" spans="1:25" ht="16">
      <c r="A8" s="200"/>
      <c r="B8" s="200" t="s">
        <v>29</v>
      </c>
      <c r="C8" s="196">
        <v>0</v>
      </c>
      <c r="D8" s="196">
        <v>0</v>
      </c>
      <c r="E8" s="196">
        <v>0</v>
      </c>
      <c r="F8" s="196">
        <v>0</v>
      </c>
      <c r="G8" s="196">
        <v>0</v>
      </c>
      <c r="H8" s="196">
        <v>0</v>
      </c>
      <c r="I8" s="196">
        <v>0</v>
      </c>
      <c r="J8" s="196">
        <v>0</v>
      </c>
      <c r="K8" s="196">
        <v>0</v>
      </c>
      <c r="L8" s="196">
        <v>500000</v>
      </c>
      <c r="M8" s="196">
        <v>200000</v>
      </c>
      <c r="N8" s="196">
        <v>150000</v>
      </c>
      <c r="O8" s="196">
        <v>500000</v>
      </c>
      <c r="P8" s="196">
        <v>260000</v>
      </c>
      <c r="Q8" s="196">
        <v>150000</v>
      </c>
      <c r="R8" s="196">
        <v>255000</v>
      </c>
      <c r="S8" s="197">
        <v>370000</v>
      </c>
      <c r="T8" s="199">
        <v>100000</v>
      </c>
      <c r="U8" s="199">
        <v>40041</v>
      </c>
      <c r="V8" s="199">
        <v>45000</v>
      </c>
      <c r="W8" s="192" t="s">
        <v>421</v>
      </c>
    </row>
    <row r="9" spans="1:25" ht="27">
      <c r="A9" s="201"/>
      <c r="B9" s="200" t="s">
        <v>424</v>
      </c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>
        <v>2025000</v>
      </c>
      <c r="O9" s="196">
        <f>O7/2</f>
        <v>592500</v>
      </c>
      <c r="P9" s="196">
        <v>350000</v>
      </c>
      <c r="Q9" s="196">
        <f>(Q7/P7-1)*P9</f>
        <v>365676.72833495616</v>
      </c>
      <c r="R9" s="196">
        <v>1000000</v>
      </c>
      <c r="S9" s="197">
        <v>533250</v>
      </c>
      <c r="T9" s="199">
        <f>P9-(P9*0.34)</f>
        <v>231000</v>
      </c>
      <c r="U9" s="199">
        <v>200000</v>
      </c>
      <c r="V9" s="199">
        <v>175000</v>
      </c>
      <c r="W9" s="192" t="s">
        <v>425</v>
      </c>
    </row>
    <row r="10" spans="1:25" ht="16">
      <c r="A10" s="202"/>
      <c r="B10" s="202" t="s">
        <v>426</v>
      </c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>
        <v>200000</v>
      </c>
      <c r="Q10" s="196">
        <v>400000</v>
      </c>
      <c r="R10" s="196">
        <f>900000+900000</f>
        <v>1800000</v>
      </c>
      <c r="S10" s="197">
        <v>1800000</v>
      </c>
      <c r="T10" s="198">
        <v>2300000</v>
      </c>
      <c r="U10" s="198">
        <v>1630869</v>
      </c>
      <c r="V10" s="198">
        <v>3300000</v>
      </c>
      <c r="W10" s="192" t="s">
        <v>421</v>
      </c>
    </row>
    <row r="11" spans="1:25" ht="16">
      <c r="B11" s="193"/>
      <c r="C11" s="196">
        <f t="shared" ref="C11:O11" si="0">SUM(C5:C9)</f>
        <v>0</v>
      </c>
      <c r="D11" s="196">
        <f t="shared" si="0"/>
        <v>0</v>
      </c>
      <c r="E11" s="196">
        <f t="shared" si="0"/>
        <v>0</v>
      </c>
      <c r="F11" s="196">
        <f t="shared" si="0"/>
        <v>0</v>
      </c>
      <c r="G11" s="196">
        <f t="shared" si="0"/>
        <v>0</v>
      </c>
      <c r="H11" s="196">
        <f t="shared" si="0"/>
        <v>3370000</v>
      </c>
      <c r="I11" s="196">
        <f t="shared" si="0"/>
        <v>4290000</v>
      </c>
      <c r="J11" s="196">
        <f t="shared" si="0"/>
        <v>9464000</v>
      </c>
      <c r="K11" s="196">
        <f t="shared" si="0"/>
        <v>7138000</v>
      </c>
      <c r="L11" s="196">
        <f t="shared" si="0"/>
        <v>13394800</v>
      </c>
      <c r="M11" s="196">
        <f t="shared" si="0"/>
        <v>15820000</v>
      </c>
      <c r="N11" s="196">
        <f t="shared" si="0"/>
        <v>32859000</v>
      </c>
      <c r="O11" s="196">
        <f t="shared" si="0"/>
        <v>16731500</v>
      </c>
      <c r="P11" s="196">
        <f t="shared" ref="P11:V11" si="1">SUM(P5:P10)</f>
        <v>24802000</v>
      </c>
      <c r="Q11" s="196">
        <f t="shared" si="1"/>
        <v>27245676.728334956</v>
      </c>
      <c r="R11" s="196">
        <f t="shared" si="1"/>
        <v>62455000</v>
      </c>
      <c r="S11" s="203">
        <f t="shared" si="1"/>
        <v>49447000</v>
      </c>
      <c r="T11" s="203">
        <f t="shared" si="1"/>
        <v>51617000</v>
      </c>
      <c r="U11" s="203">
        <f t="shared" si="1"/>
        <v>50080707</v>
      </c>
      <c r="V11" s="203">
        <f t="shared" si="1"/>
        <v>76820000</v>
      </c>
      <c r="W11" s="199">
        <f>SUM(S11:V11)</f>
        <v>227964707</v>
      </c>
    </row>
    <row r="12" spans="1:25" ht="16">
      <c r="B12" s="193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204">
        <f t="shared" ref="Q12:U12" si="2">Q11/M11-1</f>
        <v>0.72222988168994662</v>
      </c>
      <c r="R12" s="204">
        <f t="shared" si="2"/>
        <v>0.90069691713077082</v>
      </c>
      <c r="S12" s="204">
        <f t="shared" si="2"/>
        <v>1.9553237904551297</v>
      </c>
      <c r="T12" s="204">
        <f t="shared" si="2"/>
        <v>1.0811628094508507</v>
      </c>
      <c r="U12" s="204">
        <f t="shared" si="2"/>
        <v>0.83811573114339533</v>
      </c>
      <c r="V12" s="204">
        <f>V11/R11-1</f>
        <v>0.23000560403490522</v>
      </c>
      <c r="X12" s="204"/>
    </row>
    <row r="13" spans="1:25">
      <c r="A13" s="192" t="s">
        <v>427</v>
      </c>
      <c r="B13" s="192" t="s">
        <v>428</v>
      </c>
      <c r="K13" s="199"/>
      <c r="O13" s="205"/>
      <c r="R13" s="199">
        <f>SUM(O11:R11)</f>
        <v>131234176.72833496</v>
      </c>
    </row>
    <row r="14" spans="1:25" ht="16">
      <c r="A14" s="192" t="s">
        <v>429</v>
      </c>
      <c r="B14" s="206" t="s">
        <v>430</v>
      </c>
      <c r="K14" s="199"/>
      <c r="L14" s="199"/>
      <c r="R14" s="195">
        <f>W11/R13-1</f>
        <v>0.73708337784527589</v>
      </c>
    </row>
    <row r="15" spans="1:25" ht="16">
      <c r="B15" s="206" t="s">
        <v>431</v>
      </c>
      <c r="F15" s="196"/>
      <c r="J15" s="196"/>
    </row>
    <row r="16" spans="1:25">
      <c r="B16" s="192" t="s">
        <v>432</v>
      </c>
    </row>
    <row r="17" spans="2:17" ht="16">
      <c r="B17" s="193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207"/>
      <c r="O17" s="207"/>
      <c r="P17" s="199"/>
    </row>
    <row r="18" spans="2:17" ht="16">
      <c r="B18" s="193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9"/>
      <c r="P18" s="199"/>
      <c r="Q18" s="208"/>
    </row>
  </sheetData>
  <pageMargins left="0.75" right="0.75" top="1" bottom="1" header="0.5" footer="0.5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5"/>
  <sheetViews>
    <sheetView topLeftCell="A3" workbookViewId="0">
      <selection activeCell="A3" sqref="A1:XFD1048576"/>
    </sheetView>
  </sheetViews>
  <sheetFormatPr baseColWidth="10" defaultRowHeight="15" x14ac:dyDescent="0"/>
  <cols>
    <col min="1" max="16384" width="10.83203125" style="1"/>
  </cols>
  <sheetData>
    <row r="3" spans="1:20">
      <c r="B3" s="116" t="s">
        <v>9</v>
      </c>
      <c r="C3" s="116" t="s">
        <v>10</v>
      </c>
      <c r="D3" s="116" t="s">
        <v>11</v>
      </c>
      <c r="E3" s="116" t="s">
        <v>12</v>
      </c>
      <c r="F3" s="116" t="s">
        <v>13</v>
      </c>
      <c r="G3" s="116" t="s">
        <v>14</v>
      </c>
      <c r="H3" s="116" t="s">
        <v>15</v>
      </c>
      <c r="I3" s="116" t="s">
        <v>16</v>
      </c>
      <c r="J3" s="116" t="s">
        <v>17</v>
      </c>
      <c r="K3" s="116" t="s">
        <v>18</v>
      </c>
      <c r="L3" s="116" t="s">
        <v>19</v>
      </c>
      <c r="M3" s="116" t="s">
        <v>20</v>
      </c>
      <c r="N3" s="116" t="s">
        <v>21</v>
      </c>
      <c r="O3" s="116" t="s">
        <v>433</v>
      </c>
      <c r="P3" s="116" t="s">
        <v>23</v>
      </c>
      <c r="Q3" s="116" t="s">
        <v>24</v>
      </c>
      <c r="R3" s="116" t="s">
        <v>25</v>
      </c>
      <c r="S3" s="116" t="s">
        <v>26</v>
      </c>
      <c r="T3" s="116" t="s">
        <v>27</v>
      </c>
    </row>
    <row r="4" spans="1:20">
      <c r="A4" s="1" t="s">
        <v>140</v>
      </c>
      <c r="B4" s="36">
        <v>0.26927093177825223</v>
      </c>
      <c r="C4" s="36">
        <v>0.12337310640253407</v>
      </c>
      <c r="D4" s="36">
        <v>0.41141077369575973</v>
      </c>
      <c r="E4" s="36">
        <v>0.49299867971972811</v>
      </c>
      <c r="F4" s="36">
        <v>0.51498676848262326</v>
      </c>
      <c r="G4" s="36">
        <v>0.97558659381117963</v>
      </c>
      <c r="H4" s="36">
        <v>0.87888430082120883</v>
      </c>
      <c r="I4" s="36">
        <v>0.83054921063011999</v>
      </c>
      <c r="J4" s="36">
        <v>0.73612147326456978</v>
      </c>
      <c r="K4" s="36">
        <v>0.41971784461486505</v>
      </c>
      <c r="L4" s="36">
        <v>0.47346868966280864</v>
      </c>
      <c r="M4" s="36">
        <v>0.44717313956401905</v>
      </c>
      <c r="N4" s="36">
        <v>0.42644820327379507</v>
      </c>
      <c r="O4" s="36">
        <v>0.46875037982244283</v>
      </c>
      <c r="P4" s="36">
        <v>0.39331650583930156</v>
      </c>
      <c r="Q4" s="36">
        <v>0.49731598145876799</v>
      </c>
      <c r="R4" s="36">
        <v>0.5225840202855041</v>
      </c>
      <c r="S4" s="36">
        <v>0.45</v>
      </c>
      <c r="T4" s="36">
        <v>0.35</v>
      </c>
    </row>
    <row r="5" spans="1:20">
      <c r="A5" s="1" t="s">
        <v>81</v>
      </c>
      <c r="J5" s="36">
        <v>2.9747181008902075</v>
      </c>
      <c r="K5" s="36">
        <v>2.6876456876456878</v>
      </c>
      <c r="L5" s="36">
        <v>1.9912301128688918</v>
      </c>
      <c r="M5" s="36">
        <v>1.8685208201707879</v>
      </c>
      <c r="N5" s="36">
        <v>1.2082451351038617</v>
      </c>
      <c r="O5" s="36">
        <v>0.72222996175737175</v>
      </c>
      <c r="P5" s="36">
        <v>0.85453386331837988</v>
      </c>
      <c r="Q5" s="36">
        <v>1.4149349026664368</v>
      </c>
      <c r="R5" s="36">
        <v>0.74505558668519067</v>
      </c>
      <c r="S5" s="36">
        <v>0.84</v>
      </c>
      <c r="T5" s="36">
        <v>0.23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93"/>
  <sheetViews>
    <sheetView topLeftCell="H1" workbookViewId="0">
      <selection activeCell="H1" sqref="A1:XFD1048576"/>
    </sheetView>
  </sheetViews>
  <sheetFormatPr baseColWidth="10" defaultColWidth="17.1640625" defaultRowHeight="12.75" customHeight="1" x14ac:dyDescent="0"/>
  <cols>
    <col min="1" max="11" width="17.1640625" style="168" customWidth="1"/>
    <col min="12" max="16384" width="17.1640625" style="168"/>
  </cols>
  <sheetData>
    <row r="1" spans="1:22" ht="12">
      <c r="A1" s="167"/>
      <c r="B1" s="167"/>
      <c r="C1" s="167" t="s">
        <v>10</v>
      </c>
      <c r="D1" s="167" t="s">
        <v>11</v>
      </c>
      <c r="E1" s="167" t="s">
        <v>12</v>
      </c>
      <c r="F1" s="167" t="s">
        <v>13</v>
      </c>
      <c r="G1" s="167" t="s">
        <v>14</v>
      </c>
      <c r="H1" s="167" t="s">
        <v>15</v>
      </c>
      <c r="I1" s="167" t="s">
        <v>16</v>
      </c>
      <c r="J1" s="167" t="s">
        <v>17</v>
      </c>
      <c r="K1" s="167" t="s">
        <v>18</v>
      </c>
      <c r="L1" s="167" t="s">
        <v>19</v>
      </c>
      <c r="M1" s="167" t="s">
        <v>20</v>
      </c>
      <c r="N1" s="167" t="s">
        <v>21</v>
      </c>
      <c r="O1" s="167" t="s">
        <v>187</v>
      </c>
      <c r="P1" s="168" t="s">
        <v>23</v>
      </c>
      <c r="Q1" s="168" t="s">
        <v>24</v>
      </c>
      <c r="R1" s="168" t="s">
        <v>25</v>
      </c>
      <c r="S1" s="168" t="s">
        <v>26</v>
      </c>
      <c r="T1" s="168" t="s">
        <v>27</v>
      </c>
    </row>
    <row r="2" spans="1:22" ht="12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22" ht="12">
      <c r="A3" s="169"/>
      <c r="B3" s="169"/>
      <c r="C3" s="170"/>
      <c r="D3" s="170"/>
      <c r="E3" s="170"/>
      <c r="F3" s="170"/>
      <c r="G3" s="170"/>
      <c r="H3" s="170"/>
      <c r="I3" s="170"/>
      <c r="J3" s="170"/>
      <c r="K3" s="167"/>
    </row>
    <row r="4" spans="1:22" ht="12">
      <c r="A4" s="171"/>
      <c r="B4" s="169" t="s">
        <v>349</v>
      </c>
      <c r="C4" s="172">
        <v>3.5000000000000003E-2</v>
      </c>
      <c r="D4" s="172">
        <v>7.513809484867183E-2</v>
      </c>
      <c r="E4" s="172">
        <v>9.6000000000000002E-2</v>
      </c>
      <c r="F4" s="172">
        <v>0.17199999999999999</v>
      </c>
      <c r="G4" s="172">
        <v>0.253</v>
      </c>
      <c r="H4" s="172">
        <v>0.31172385356703969</v>
      </c>
      <c r="I4" s="172">
        <v>0.36</v>
      </c>
      <c r="J4" s="172">
        <v>0.434</v>
      </c>
      <c r="K4" s="172">
        <v>0.52500000000000002</v>
      </c>
      <c r="L4" s="172">
        <v>0.50900000000000001</v>
      </c>
      <c r="M4" s="172">
        <v>0.56100000000000005</v>
      </c>
      <c r="N4" s="172">
        <v>0.64100000000000001</v>
      </c>
      <c r="O4" s="172">
        <v>0.72400000000000009</v>
      </c>
      <c r="P4" s="172">
        <v>0.69699999999999995</v>
      </c>
      <c r="Q4" s="172">
        <v>0.74399999999999999</v>
      </c>
      <c r="R4" s="183">
        <v>0.79300000000000004</v>
      </c>
      <c r="S4" s="209">
        <f>AVERAGE(S15:T15)</f>
        <v>0.8115</v>
      </c>
      <c r="T4" s="210">
        <f>AVERAGE(U15:V15)</f>
        <v>0.78249999999999997</v>
      </c>
    </row>
    <row r="5" spans="1:22" ht="12">
      <c r="A5" s="169"/>
      <c r="B5" s="171" t="s">
        <v>49</v>
      </c>
      <c r="C5" s="173">
        <v>0.17100000000000001</v>
      </c>
      <c r="D5" s="173">
        <v>0.16169921715275559</v>
      </c>
      <c r="E5" s="173">
        <v>0.153</v>
      </c>
      <c r="F5" s="173">
        <v>0.14099999999999999</v>
      </c>
      <c r="G5" s="173">
        <v>0.16600000000000001</v>
      </c>
      <c r="H5" s="173">
        <v>0.16181036155488004</v>
      </c>
      <c r="I5" s="173">
        <v>0.16800000000000001</v>
      </c>
      <c r="J5" s="173">
        <v>0.182</v>
      </c>
      <c r="K5" s="174">
        <v>0.15</v>
      </c>
      <c r="L5" s="173">
        <v>0.23800000000000002</v>
      </c>
      <c r="M5" s="173">
        <v>0.22900000000000001</v>
      </c>
      <c r="N5" s="173">
        <v>0.188</v>
      </c>
      <c r="O5" s="183">
        <v>0.13900000000000001</v>
      </c>
      <c r="P5" s="183">
        <v>0.20899999999999999</v>
      </c>
      <c r="Q5" s="183">
        <v>0.182</v>
      </c>
      <c r="R5" s="211">
        <v>0.13200000000000001</v>
      </c>
      <c r="S5" s="209">
        <f>AVERAGE(S16:T16)</f>
        <v>0.13150000000000001</v>
      </c>
      <c r="T5" s="210">
        <f>AVERAGE(U16:V16)</f>
        <v>0.17599999999999999</v>
      </c>
    </row>
    <row r="6" spans="1:22" ht="24">
      <c r="A6" s="169"/>
      <c r="B6" s="171" t="s">
        <v>434</v>
      </c>
      <c r="C6" s="173">
        <f>SUM(C7,C9)</f>
        <v>0.50800000000000001</v>
      </c>
      <c r="D6" s="173">
        <f t="shared" ref="D6:R6" si="0">SUM(D7,D9)</f>
        <v>0.49733103361113373</v>
      </c>
      <c r="E6" s="173">
        <f t="shared" si="0"/>
        <v>0.48600000000000004</v>
      </c>
      <c r="F6" s="173">
        <f t="shared" si="0"/>
        <v>0.4509999999999999</v>
      </c>
      <c r="G6" s="173">
        <f t="shared" si="0"/>
        <v>0.39999999999999991</v>
      </c>
      <c r="H6" s="173">
        <f t="shared" si="0"/>
        <v>0.35934872420930075</v>
      </c>
      <c r="I6" s="173">
        <f t="shared" si="0"/>
        <v>0.307</v>
      </c>
      <c r="J6" s="173">
        <f t="shared" si="0"/>
        <v>0.251</v>
      </c>
      <c r="K6" s="173">
        <f t="shared" si="0"/>
        <v>0.2</v>
      </c>
      <c r="L6" s="173">
        <f t="shared" si="0"/>
        <v>0.14600000000000002</v>
      </c>
      <c r="M6" s="173">
        <f t="shared" si="0"/>
        <v>0.12199999999999991</v>
      </c>
      <c r="N6" s="173">
        <f t="shared" si="0"/>
        <v>9.2000000000000026E-2</v>
      </c>
      <c r="O6" s="173">
        <f t="shared" si="0"/>
        <v>5.9999999999999803E-2</v>
      </c>
      <c r="P6" s="173">
        <f t="shared" si="0"/>
        <v>2.9000000000000015E-2</v>
      </c>
      <c r="Q6" s="173">
        <f t="shared" si="0"/>
        <v>1.5000000000000008E-2</v>
      </c>
      <c r="R6" s="173">
        <f t="shared" si="0"/>
        <v>9.0000000000000011E-3</v>
      </c>
      <c r="S6" s="209">
        <v>5.0000000000000001E-3</v>
      </c>
      <c r="T6" s="211">
        <v>7.0000000000000001E-3</v>
      </c>
    </row>
    <row r="7" spans="1:22" ht="12">
      <c r="A7" s="169"/>
      <c r="B7" s="169" t="s">
        <v>435</v>
      </c>
      <c r="C7" s="172">
        <v>0.44600000000000001</v>
      </c>
      <c r="D7" s="172">
        <v>0.44341642566668404</v>
      </c>
      <c r="E7" s="172">
        <v>0.442</v>
      </c>
      <c r="F7" s="172">
        <v>0.40899999999999997</v>
      </c>
      <c r="G7" s="172">
        <v>0.36299999999999999</v>
      </c>
      <c r="H7" s="172">
        <v>0.3298824461548413</v>
      </c>
      <c r="I7" s="172">
        <v>0.27399999999999997</v>
      </c>
      <c r="J7" s="172">
        <v>0.221</v>
      </c>
      <c r="K7" s="174">
        <v>0.16899999999999998</v>
      </c>
      <c r="L7" s="172">
        <v>0.11699999999999999</v>
      </c>
      <c r="M7" s="172">
        <v>8.5999999999999993E-2</v>
      </c>
      <c r="N7" s="172">
        <v>5.8999999999999997E-2</v>
      </c>
      <c r="O7" s="172">
        <v>2.5999999999999999E-2</v>
      </c>
      <c r="P7" s="172">
        <v>1.2E-2</v>
      </c>
      <c r="Q7" s="172">
        <v>6.0000000000000001E-3</v>
      </c>
      <c r="R7" s="209">
        <v>2E-3</v>
      </c>
      <c r="S7" s="209"/>
      <c r="T7" s="211"/>
    </row>
    <row r="8" spans="1:22" ht="12">
      <c r="A8" s="169"/>
      <c r="B8" s="169" t="s">
        <v>29</v>
      </c>
      <c r="C8" s="172">
        <v>0.20699999999999999</v>
      </c>
      <c r="D8" s="172">
        <v>0.18771978083250937</v>
      </c>
      <c r="E8" s="172">
        <v>0.19699999999999998</v>
      </c>
      <c r="F8" s="172">
        <v>0.187</v>
      </c>
      <c r="G8" s="172">
        <v>0.154</v>
      </c>
      <c r="H8" s="172">
        <v>0.13300603130457281</v>
      </c>
      <c r="I8" s="172">
        <v>0.129</v>
      </c>
      <c r="J8" s="172">
        <v>0.11699999999999999</v>
      </c>
      <c r="K8" s="174">
        <v>0.11</v>
      </c>
      <c r="L8" s="172">
        <v>8.8000000000000009E-2</v>
      </c>
      <c r="M8" s="172">
        <v>6.9000000000000006E-2</v>
      </c>
      <c r="N8" s="172">
        <v>5.1999999999999998E-2</v>
      </c>
      <c r="O8" s="172">
        <v>5.2999999999999999E-2</v>
      </c>
      <c r="P8" s="172">
        <v>3.5000000000000003E-2</v>
      </c>
      <c r="Q8" s="172">
        <v>0.03</v>
      </c>
      <c r="R8" s="209">
        <v>2.9000000000000001E-2</v>
      </c>
      <c r="S8" s="209">
        <f>AVERAGE(S19:T19)</f>
        <v>1.3500000000000002E-2</v>
      </c>
      <c r="T8" s="210">
        <v>6.0000000000000001E-3</v>
      </c>
    </row>
    <row r="9" spans="1:22" ht="12">
      <c r="A9" s="169"/>
      <c r="B9" s="169" t="s">
        <v>39</v>
      </c>
      <c r="C9" s="172">
        <f t="shared" ref="C9:P9" si="1">1-SUM(C4,C7,C5,C8,C10)</f>
        <v>6.2000000000000055E-2</v>
      </c>
      <c r="D9" s="172">
        <f t="shared" si="1"/>
        <v>5.3914607944449688E-2</v>
      </c>
      <c r="E9" s="172">
        <f t="shared" si="1"/>
        <v>4.4000000000000039E-2</v>
      </c>
      <c r="F9" s="172">
        <f t="shared" si="1"/>
        <v>4.1999999999999926E-2</v>
      </c>
      <c r="G9" s="172">
        <f t="shared" si="1"/>
        <v>3.6999999999999922E-2</v>
      </c>
      <c r="H9" s="172">
        <f t="shared" si="1"/>
        <v>2.9466278054459449E-2</v>
      </c>
      <c r="I9" s="172">
        <f t="shared" si="1"/>
        <v>3.3000000000000029E-2</v>
      </c>
      <c r="J9" s="172">
        <f t="shared" si="1"/>
        <v>3.0000000000000027E-2</v>
      </c>
      <c r="K9" s="172">
        <f t="shared" si="1"/>
        <v>3.1000000000000028E-2</v>
      </c>
      <c r="L9" s="172">
        <f t="shared" si="1"/>
        <v>2.9000000000000026E-2</v>
      </c>
      <c r="M9" s="172">
        <f t="shared" si="1"/>
        <v>3.5999999999999921E-2</v>
      </c>
      <c r="N9" s="172">
        <f t="shared" si="1"/>
        <v>3.3000000000000029E-2</v>
      </c>
      <c r="O9" s="172">
        <f t="shared" si="1"/>
        <v>3.3999999999999808E-2</v>
      </c>
      <c r="P9" s="172">
        <f t="shared" si="1"/>
        <v>1.7000000000000015E-2</v>
      </c>
      <c r="Q9" s="172">
        <f>1-SUM(Q4,Q7,Q5,Q8,Q10)</f>
        <v>9.000000000000008E-3</v>
      </c>
      <c r="R9" s="209">
        <v>7.0000000000000001E-3</v>
      </c>
      <c r="S9" s="209"/>
      <c r="T9" s="211"/>
    </row>
    <row r="10" spans="1:22" ht="12">
      <c r="A10" s="169"/>
      <c r="B10" s="169" t="s">
        <v>353</v>
      </c>
      <c r="C10" s="212">
        <v>7.9000000000000001E-2</v>
      </c>
      <c r="D10" s="212">
        <v>7.8111873554929406E-2</v>
      </c>
      <c r="E10" s="212">
        <v>6.8000000000000005E-2</v>
      </c>
      <c r="F10" s="212">
        <v>4.9000000000000002E-2</v>
      </c>
      <c r="G10" s="212">
        <v>2.7000000000000003E-2</v>
      </c>
      <c r="H10" s="212">
        <v>3.4111029364206714E-2</v>
      </c>
      <c r="I10" s="212">
        <v>3.6000000000000004E-2</v>
      </c>
      <c r="J10" s="212">
        <v>1.6E-2</v>
      </c>
      <c r="K10" s="213">
        <v>1.4999999999999999E-2</v>
      </c>
      <c r="L10" s="212">
        <v>1.9E-2</v>
      </c>
      <c r="M10" s="212">
        <v>1.9E-2</v>
      </c>
      <c r="N10" s="212">
        <v>2.7E-2</v>
      </c>
      <c r="O10" s="212">
        <v>2.4E-2</v>
      </c>
      <c r="P10" s="212">
        <v>0.03</v>
      </c>
      <c r="Q10" s="212">
        <v>2.9000000000000001E-2</v>
      </c>
      <c r="R10" s="209">
        <v>3.6999999999999998E-2</v>
      </c>
      <c r="S10" s="209">
        <f>AVERAGE(S21:T21)</f>
        <v>3.85E-2</v>
      </c>
      <c r="T10" s="211">
        <f>AVERAGE(U21:V21)</f>
        <v>3.1E-2</v>
      </c>
    </row>
    <row r="11" spans="1:22" ht="12">
      <c r="A11" s="169"/>
      <c r="C11" s="172"/>
      <c r="D11" s="172"/>
      <c r="E11" s="172"/>
      <c r="F11" s="172"/>
      <c r="G11" s="172"/>
      <c r="H11" s="172"/>
      <c r="I11" s="172"/>
      <c r="J11" s="172"/>
      <c r="K11" s="174"/>
      <c r="R11" s="214">
        <f>SUM(R4:R10)</f>
        <v>1.0090000000000001</v>
      </c>
      <c r="S11" s="214">
        <f>SUM(S4:S10)</f>
        <v>1</v>
      </c>
      <c r="T11" s="214"/>
    </row>
    <row r="12" spans="1:22" ht="12">
      <c r="A12" s="169"/>
      <c r="B12" s="169"/>
      <c r="C12" s="170"/>
      <c r="D12" s="170"/>
      <c r="E12" s="170"/>
      <c r="F12" s="170"/>
      <c r="G12" s="170"/>
      <c r="H12" s="170"/>
      <c r="I12" s="170"/>
      <c r="J12" s="170"/>
      <c r="K12" s="167"/>
    </row>
    <row r="13" spans="1:22" ht="12">
      <c r="A13" s="169"/>
      <c r="B13" s="169"/>
      <c r="C13" s="170"/>
      <c r="D13" s="170"/>
      <c r="E13" s="170"/>
      <c r="F13" s="170"/>
      <c r="G13" s="170"/>
      <c r="H13" s="170"/>
      <c r="I13" s="170"/>
      <c r="J13" s="170"/>
      <c r="K13" s="170"/>
    </row>
    <row r="14" spans="1:22" ht="12">
      <c r="A14" s="167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S14" s="168" t="s">
        <v>436</v>
      </c>
      <c r="T14" s="168" t="s">
        <v>437</v>
      </c>
      <c r="U14" s="168" t="s">
        <v>436</v>
      </c>
      <c r="V14" s="168" t="s">
        <v>438</v>
      </c>
    </row>
    <row r="15" spans="1:22" ht="12">
      <c r="A15" s="167"/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R15" s="169" t="s">
        <v>349</v>
      </c>
      <c r="S15" s="168">
        <v>0.81</v>
      </c>
      <c r="T15" s="168">
        <v>0.81299999999999994</v>
      </c>
      <c r="U15" s="168">
        <v>0.78100000000000003</v>
      </c>
      <c r="V15" s="168">
        <v>0.78400000000000003</v>
      </c>
    </row>
    <row r="16" spans="1:22" ht="12">
      <c r="A16" s="167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R16" s="171" t="s">
        <v>49</v>
      </c>
      <c r="S16" s="168">
        <v>0.129</v>
      </c>
      <c r="T16" s="168">
        <v>0.13400000000000001</v>
      </c>
      <c r="U16" s="168">
        <v>0.17599999999999999</v>
      </c>
      <c r="V16" s="168">
        <v>0.17599999999999999</v>
      </c>
    </row>
    <row r="17" spans="1:22" ht="24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R17" s="171" t="s">
        <v>434</v>
      </c>
      <c r="S17" s="168">
        <v>6.0000000000000001E-3</v>
      </c>
      <c r="T17" s="168">
        <v>2E-3</v>
      </c>
      <c r="U17" s="168">
        <v>7.0000000000000001E-3</v>
      </c>
      <c r="V17" s="168">
        <v>7.0000000000000001E-3</v>
      </c>
    </row>
    <row r="18" spans="1:22" ht="12">
      <c r="A18" s="167"/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R18" s="169" t="s">
        <v>435</v>
      </c>
    </row>
    <row r="19" spans="1:22" ht="12">
      <c r="A19" s="167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R19" s="169" t="s">
        <v>29</v>
      </c>
      <c r="S19" s="168">
        <v>1.7000000000000001E-2</v>
      </c>
      <c r="T19" s="168">
        <v>0.01</v>
      </c>
      <c r="U19" s="168">
        <v>6.0000000000000001E-3</v>
      </c>
      <c r="V19" s="168">
        <v>6.0000000000000001E-3</v>
      </c>
    </row>
    <row r="20" spans="1:22" ht="12">
      <c r="A20" s="167"/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R20" s="169" t="s">
        <v>39</v>
      </c>
    </row>
    <row r="21" spans="1:22" ht="12">
      <c r="A21" s="167"/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R21" s="169" t="s">
        <v>353</v>
      </c>
      <c r="S21" s="168">
        <v>3.5999999999999997E-2</v>
      </c>
      <c r="T21" s="168">
        <v>4.1000000000000002E-2</v>
      </c>
      <c r="U21" s="168">
        <v>0.03</v>
      </c>
      <c r="V21" s="168">
        <v>3.2000000000000001E-2</v>
      </c>
    </row>
    <row r="22" spans="1:22" ht="12">
      <c r="A22" s="167"/>
      <c r="B22" s="167"/>
      <c r="C22" s="167"/>
      <c r="D22" s="167"/>
      <c r="E22" s="167"/>
      <c r="F22" s="167"/>
      <c r="G22" s="167"/>
      <c r="H22" s="167"/>
      <c r="I22" s="167"/>
      <c r="J22" s="167"/>
      <c r="K22" s="167"/>
    </row>
    <row r="23" spans="1:22" ht="12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K23" s="167"/>
    </row>
    <row r="24" spans="1:22" ht="12">
      <c r="A24" s="167"/>
      <c r="B24" s="167"/>
      <c r="C24" s="167"/>
      <c r="D24" s="167"/>
      <c r="E24" s="167"/>
      <c r="F24" s="167"/>
      <c r="G24" s="167"/>
      <c r="H24" s="167"/>
      <c r="I24" s="167"/>
      <c r="J24" s="167"/>
      <c r="K24" s="167"/>
    </row>
    <row r="25" spans="1:22" ht="12">
      <c r="A25" s="167"/>
      <c r="B25" s="167"/>
      <c r="C25" s="167"/>
      <c r="D25" s="167"/>
      <c r="E25" s="167"/>
      <c r="F25" s="167"/>
      <c r="G25" s="167"/>
      <c r="H25" s="167"/>
      <c r="I25" s="167"/>
      <c r="J25" s="167"/>
      <c r="K25" s="167"/>
    </row>
    <row r="26" spans="1:22" ht="12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</row>
    <row r="27" spans="1:22" ht="12">
      <c r="A27" s="167"/>
      <c r="B27" s="167"/>
      <c r="C27" s="167"/>
      <c r="D27" s="167"/>
      <c r="E27" s="167"/>
      <c r="F27" s="167"/>
      <c r="G27" s="167"/>
      <c r="H27" s="167"/>
      <c r="I27" s="167"/>
      <c r="J27" s="167"/>
      <c r="K27" s="167"/>
    </row>
    <row r="28" spans="1:22" ht="12">
      <c r="A28" s="167"/>
      <c r="B28" s="167"/>
      <c r="C28" s="167"/>
      <c r="D28" s="167"/>
      <c r="E28" s="167"/>
      <c r="F28" s="167"/>
      <c r="G28" s="167"/>
      <c r="H28" s="167"/>
      <c r="I28" s="167"/>
      <c r="J28" s="167"/>
      <c r="K28" s="167"/>
    </row>
    <row r="29" spans="1:22" ht="12">
      <c r="A29" s="167"/>
      <c r="B29" s="167"/>
      <c r="C29" s="167"/>
      <c r="D29" s="167"/>
      <c r="E29" s="167"/>
      <c r="F29" s="167"/>
      <c r="G29" s="167"/>
      <c r="H29" s="167"/>
      <c r="I29" s="167"/>
      <c r="J29" s="167"/>
      <c r="K29" s="167"/>
    </row>
    <row r="30" spans="1:22" ht="1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</row>
    <row r="31" spans="1:22" ht="12">
      <c r="A31" s="167"/>
      <c r="B31" s="167"/>
      <c r="C31" s="167"/>
      <c r="D31" s="167"/>
      <c r="E31" s="167"/>
      <c r="F31" s="167"/>
      <c r="G31" s="167"/>
      <c r="H31" s="167"/>
      <c r="I31" s="167"/>
      <c r="J31" s="167"/>
      <c r="K31" s="167"/>
    </row>
    <row r="32" spans="1:22" ht="12">
      <c r="A32" s="167"/>
      <c r="B32" s="167"/>
      <c r="C32" s="167"/>
      <c r="D32" s="167"/>
      <c r="E32" s="167"/>
      <c r="F32" s="167"/>
      <c r="G32" s="167"/>
      <c r="H32" s="167"/>
      <c r="I32" s="167"/>
      <c r="J32" s="167"/>
      <c r="K32" s="167"/>
    </row>
    <row r="33" spans="1:11" ht="12">
      <c r="A33" s="167"/>
      <c r="B33" s="167"/>
      <c r="C33" s="167"/>
      <c r="D33" s="167"/>
      <c r="E33" s="167"/>
      <c r="F33" s="167"/>
      <c r="G33" s="167"/>
      <c r="H33" s="167"/>
      <c r="I33" s="167"/>
      <c r="J33" s="167"/>
      <c r="K33" s="167"/>
    </row>
    <row r="34" spans="1:11" ht="12">
      <c r="A34" s="167"/>
      <c r="B34" s="167"/>
      <c r="C34" s="167"/>
      <c r="D34" s="167"/>
      <c r="E34" s="167"/>
      <c r="F34" s="167"/>
      <c r="G34" s="167"/>
      <c r="H34" s="167"/>
      <c r="I34" s="167"/>
      <c r="J34" s="167"/>
      <c r="K34" s="167"/>
    </row>
    <row r="35" spans="1:11" ht="12">
      <c r="A35" s="167"/>
      <c r="B35" s="167"/>
      <c r="C35" s="167"/>
      <c r="D35" s="167"/>
      <c r="E35" s="167"/>
      <c r="F35" s="167"/>
      <c r="G35" s="167"/>
      <c r="H35" s="167"/>
      <c r="I35" s="167"/>
      <c r="J35" s="167"/>
      <c r="K35" s="167"/>
    </row>
    <row r="36" spans="1:11" ht="12">
      <c r="A36" s="167"/>
      <c r="B36" s="167"/>
      <c r="C36" s="167"/>
      <c r="D36" s="167"/>
      <c r="E36" s="167"/>
      <c r="F36" s="167"/>
      <c r="G36" s="167"/>
      <c r="H36" s="167"/>
      <c r="I36" s="167"/>
      <c r="J36" s="167"/>
      <c r="K36" s="167"/>
    </row>
    <row r="37" spans="1:11" ht="12">
      <c r="A37" s="167"/>
      <c r="B37" s="167"/>
      <c r="C37" s="167"/>
      <c r="D37" s="167"/>
      <c r="E37" s="167"/>
      <c r="F37" s="167"/>
      <c r="G37" s="167"/>
      <c r="H37" s="167"/>
      <c r="I37" s="167"/>
      <c r="J37" s="167"/>
      <c r="K37" s="167"/>
    </row>
    <row r="38" spans="1:11" ht="12">
      <c r="A38" s="167"/>
      <c r="B38" s="167"/>
      <c r="C38" s="167"/>
      <c r="D38" s="167"/>
      <c r="E38" s="167"/>
      <c r="F38" s="167"/>
      <c r="G38" s="167"/>
      <c r="H38" s="167"/>
      <c r="I38" s="167"/>
      <c r="J38" s="167"/>
      <c r="K38" s="167"/>
    </row>
    <row r="39" spans="1:11" ht="12">
      <c r="A39" s="167">
        <v>2.7589999999999999</v>
      </c>
      <c r="B39" s="167">
        <v>6.1849999999999996</v>
      </c>
      <c r="C39" s="167"/>
      <c r="D39" s="167"/>
      <c r="E39" s="167"/>
      <c r="F39" s="167"/>
      <c r="G39" s="167"/>
      <c r="H39" s="167"/>
      <c r="I39" s="167"/>
      <c r="J39" s="167"/>
      <c r="K39" s="167"/>
    </row>
    <row r="40" spans="1:11" ht="12">
      <c r="A40" s="167"/>
      <c r="B40" s="174">
        <f>B39/A39-1</f>
        <v>1.2417542587894164</v>
      </c>
      <c r="C40" s="167"/>
      <c r="D40" s="167"/>
      <c r="E40" s="167"/>
      <c r="F40" s="167"/>
      <c r="G40" s="167"/>
      <c r="H40" s="167"/>
      <c r="I40" s="167"/>
      <c r="J40" s="167"/>
      <c r="K40" s="167"/>
    </row>
    <row r="41" spans="1:11" ht="12">
      <c r="A41" s="167"/>
      <c r="B41" s="167"/>
      <c r="C41" s="167"/>
      <c r="D41" s="167"/>
      <c r="E41" s="167"/>
      <c r="F41" s="167"/>
      <c r="G41" s="167"/>
      <c r="H41" s="167"/>
      <c r="I41" s="167"/>
      <c r="J41" s="167"/>
      <c r="K41" s="167"/>
    </row>
    <row r="42" spans="1:11" ht="12">
      <c r="A42" s="167"/>
      <c r="B42" s="167"/>
      <c r="C42" s="167"/>
      <c r="D42" s="167"/>
      <c r="E42" s="167"/>
      <c r="F42" s="167"/>
      <c r="G42" s="167"/>
      <c r="H42" s="167"/>
      <c r="I42" s="167"/>
      <c r="J42" s="167"/>
      <c r="K42" s="167"/>
    </row>
    <row r="43" spans="1:11" ht="12">
      <c r="A43" s="167"/>
      <c r="B43" s="167"/>
      <c r="C43" s="167"/>
      <c r="D43" s="167"/>
      <c r="E43" s="167"/>
      <c r="F43" s="167"/>
      <c r="G43" s="167"/>
      <c r="H43" s="167"/>
      <c r="I43" s="167"/>
      <c r="J43" s="167"/>
      <c r="K43" s="167"/>
    </row>
    <row r="44" spans="1:11" ht="12">
      <c r="A44" s="167"/>
      <c r="B44" s="167"/>
      <c r="C44" s="167"/>
      <c r="D44" s="167"/>
      <c r="E44" s="167"/>
      <c r="F44" s="167"/>
      <c r="G44" s="167"/>
      <c r="H44" s="167"/>
      <c r="I44" s="167"/>
      <c r="J44" s="167"/>
      <c r="K44" s="167"/>
    </row>
    <row r="45" spans="1:11" ht="12">
      <c r="A45" s="167"/>
      <c r="B45" s="167"/>
      <c r="C45" s="167"/>
      <c r="D45" s="167"/>
      <c r="E45" s="167"/>
      <c r="F45" s="167"/>
      <c r="G45" s="167"/>
      <c r="H45" s="167"/>
      <c r="I45" s="167"/>
      <c r="J45" s="167"/>
      <c r="K45" s="167"/>
    </row>
    <row r="46" spans="1:11" ht="12">
      <c r="A46" s="167"/>
      <c r="B46" s="167"/>
      <c r="C46" s="167"/>
      <c r="D46" s="167"/>
      <c r="E46" s="167"/>
      <c r="F46" s="167"/>
      <c r="G46" s="167"/>
      <c r="H46" s="167"/>
      <c r="I46" s="167"/>
      <c r="J46" s="167"/>
      <c r="K46" s="167"/>
    </row>
    <row r="47" spans="1:11" ht="12">
      <c r="A47" s="167"/>
      <c r="B47" s="167"/>
      <c r="C47" s="167"/>
      <c r="D47" s="167"/>
      <c r="E47" s="167"/>
      <c r="F47" s="167"/>
      <c r="G47" s="167"/>
      <c r="H47" s="167"/>
      <c r="I47" s="167"/>
      <c r="J47" s="167"/>
      <c r="K47" s="167"/>
    </row>
    <row r="48" spans="1:11" ht="12">
      <c r="A48" s="167"/>
      <c r="B48" s="167"/>
      <c r="C48" s="167"/>
      <c r="D48" s="167"/>
      <c r="E48" s="167"/>
      <c r="F48" s="167"/>
      <c r="G48" s="167"/>
      <c r="H48" s="167"/>
      <c r="I48" s="167"/>
      <c r="J48" s="167"/>
      <c r="K48" s="167"/>
    </row>
    <row r="49" spans="1:11" ht="12">
      <c r="A49" s="167"/>
      <c r="B49" s="167"/>
      <c r="C49" s="167"/>
      <c r="D49" s="167"/>
      <c r="E49" s="167"/>
      <c r="F49" s="167"/>
      <c r="G49" s="167"/>
      <c r="H49" s="167"/>
      <c r="I49" s="167"/>
      <c r="J49" s="167"/>
      <c r="K49" s="167"/>
    </row>
    <row r="50" spans="1:11" ht="12">
      <c r="A50" s="167"/>
      <c r="B50" s="167"/>
      <c r="C50" s="167"/>
      <c r="D50" s="167"/>
      <c r="E50" s="167"/>
      <c r="F50" s="167"/>
      <c r="G50" s="167"/>
      <c r="H50" s="167"/>
      <c r="I50" s="167"/>
      <c r="J50" s="167"/>
      <c r="K50" s="167"/>
    </row>
    <row r="51" spans="1:11" ht="12">
      <c r="A51" s="167"/>
      <c r="B51" s="167"/>
      <c r="C51" s="167"/>
      <c r="D51" s="167"/>
      <c r="E51" s="167"/>
      <c r="F51" s="167"/>
      <c r="G51" s="167"/>
      <c r="H51" s="167"/>
      <c r="I51" s="167"/>
      <c r="J51" s="167"/>
      <c r="K51" s="167"/>
    </row>
    <row r="52" spans="1:11" ht="12">
      <c r="A52" s="167"/>
      <c r="B52" s="167"/>
      <c r="C52" s="167"/>
      <c r="D52" s="167"/>
      <c r="E52" s="167"/>
      <c r="F52" s="167"/>
      <c r="G52" s="167"/>
      <c r="H52" s="167"/>
      <c r="I52" s="167"/>
      <c r="J52" s="167"/>
      <c r="K52" s="167"/>
    </row>
    <row r="53" spans="1:11" ht="12">
      <c r="A53" s="167"/>
      <c r="B53" s="167"/>
      <c r="C53" s="167"/>
      <c r="D53" s="167"/>
      <c r="E53" s="167"/>
      <c r="F53" s="167"/>
      <c r="G53" s="167"/>
      <c r="H53" s="167"/>
      <c r="I53" s="167"/>
      <c r="J53" s="167"/>
      <c r="K53" s="167"/>
    </row>
    <row r="54" spans="1:11" ht="12">
      <c r="A54" s="167"/>
      <c r="B54" s="167"/>
      <c r="C54" s="167"/>
      <c r="D54" s="167"/>
      <c r="E54" s="167"/>
      <c r="F54" s="167"/>
      <c r="G54" s="167"/>
      <c r="H54" s="167"/>
      <c r="I54" s="167"/>
      <c r="J54" s="167"/>
      <c r="K54" s="167"/>
    </row>
    <row r="55" spans="1:11" ht="12">
      <c r="A55" s="167"/>
      <c r="B55" s="167"/>
      <c r="C55" s="167"/>
      <c r="D55" s="167"/>
      <c r="E55" s="167"/>
      <c r="F55" s="167"/>
      <c r="G55" s="167"/>
      <c r="H55" s="167"/>
      <c r="I55" s="167"/>
      <c r="J55" s="167"/>
      <c r="K55" s="167"/>
    </row>
    <row r="56" spans="1:11" ht="12">
      <c r="A56" s="167"/>
      <c r="B56" s="167"/>
      <c r="C56" s="167"/>
      <c r="D56" s="167"/>
      <c r="E56" s="167"/>
      <c r="F56" s="167"/>
      <c r="G56" s="167"/>
      <c r="H56" s="167"/>
      <c r="I56" s="167"/>
      <c r="J56" s="167"/>
      <c r="K56" s="167"/>
    </row>
    <row r="57" spans="1:11" ht="12">
      <c r="A57" s="167"/>
      <c r="B57" s="167"/>
      <c r="C57" s="167"/>
      <c r="D57" s="167"/>
      <c r="E57" s="167"/>
      <c r="F57" s="167"/>
      <c r="G57" s="167"/>
      <c r="H57" s="167"/>
      <c r="I57" s="167"/>
      <c r="J57" s="167"/>
      <c r="K57" s="167"/>
    </row>
    <row r="58" spans="1:11" ht="12">
      <c r="A58" s="167"/>
      <c r="B58" s="167"/>
      <c r="C58" s="167"/>
      <c r="D58" s="167"/>
      <c r="E58" s="167"/>
      <c r="F58" s="167"/>
      <c r="G58" s="167"/>
      <c r="H58" s="167"/>
      <c r="I58" s="167"/>
      <c r="J58" s="167"/>
      <c r="K58" s="167"/>
    </row>
    <row r="59" spans="1:11" ht="12">
      <c r="A59" s="167"/>
      <c r="B59" s="167"/>
      <c r="C59" s="167"/>
      <c r="D59" s="167"/>
      <c r="E59" s="167"/>
      <c r="F59" s="167"/>
      <c r="G59" s="167"/>
      <c r="H59" s="167"/>
      <c r="I59" s="167"/>
      <c r="J59" s="167"/>
      <c r="K59" s="167"/>
    </row>
    <row r="60" spans="1:11" ht="12">
      <c r="A60" s="167"/>
      <c r="B60" s="167"/>
      <c r="C60" s="167"/>
      <c r="D60" s="167"/>
      <c r="E60" s="167"/>
      <c r="F60" s="167"/>
      <c r="G60" s="167"/>
      <c r="H60" s="167"/>
      <c r="I60" s="167"/>
      <c r="J60" s="167"/>
      <c r="K60" s="167"/>
    </row>
    <row r="61" spans="1:11" ht="12">
      <c r="A61" s="167"/>
      <c r="B61" s="167"/>
      <c r="C61" s="167"/>
      <c r="D61" s="167"/>
      <c r="E61" s="167"/>
      <c r="F61" s="167"/>
      <c r="G61" s="167"/>
      <c r="H61" s="167"/>
      <c r="I61" s="167"/>
      <c r="J61" s="167"/>
      <c r="K61" s="167"/>
    </row>
    <row r="62" spans="1:11" ht="12">
      <c r="A62" s="167"/>
      <c r="B62" s="167"/>
      <c r="C62" s="167"/>
      <c r="D62" s="167"/>
      <c r="E62" s="167"/>
      <c r="F62" s="167"/>
      <c r="G62" s="167"/>
      <c r="H62" s="167"/>
      <c r="I62" s="167"/>
      <c r="J62" s="167"/>
      <c r="K62" s="167"/>
    </row>
    <row r="63" spans="1:11" ht="12">
      <c r="A63" s="167"/>
      <c r="B63" s="167"/>
      <c r="C63" s="167"/>
      <c r="D63" s="167"/>
      <c r="E63" s="167"/>
      <c r="F63" s="167"/>
      <c r="G63" s="167"/>
      <c r="H63" s="167"/>
      <c r="I63" s="167"/>
      <c r="J63" s="167"/>
      <c r="K63" s="167"/>
    </row>
    <row r="64" spans="1:11" ht="12">
      <c r="A64" s="167"/>
      <c r="B64" s="167"/>
      <c r="C64" s="167"/>
      <c r="D64" s="167"/>
      <c r="E64" s="167"/>
      <c r="F64" s="167"/>
      <c r="G64" s="167"/>
      <c r="H64" s="167"/>
      <c r="I64" s="167"/>
      <c r="J64" s="167"/>
      <c r="K64" s="167"/>
    </row>
    <row r="65" spans="1:11" ht="12">
      <c r="A65" s="167"/>
      <c r="B65" s="167"/>
      <c r="C65" s="167"/>
      <c r="D65" s="167"/>
      <c r="E65" s="167"/>
      <c r="F65" s="167"/>
      <c r="G65" s="167"/>
      <c r="H65" s="167"/>
      <c r="I65" s="167"/>
      <c r="J65" s="167"/>
      <c r="K65" s="167"/>
    </row>
    <row r="66" spans="1:11" ht="12">
      <c r="A66" s="167"/>
      <c r="B66" s="167"/>
      <c r="C66" s="167"/>
      <c r="D66" s="167"/>
      <c r="E66" s="167"/>
      <c r="F66" s="167"/>
      <c r="G66" s="167"/>
      <c r="H66" s="167"/>
      <c r="I66" s="167"/>
      <c r="J66" s="167"/>
      <c r="K66" s="167"/>
    </row>
    <row r="67" spans="1:11" ht="12">
      <c r="A67" s="167"/>
      <c r="B67" s="167"/>
      <c r="C67" s="167"/>
      <c r="D67" s="167"/>
      <c r="E67" s="167"/>
      <c r="F67" s="167"/>
      <c r="G67" s="167"/>
      <c r="H67" s="167"/>
      <c r="I67" s="167"/>
      <c r="J67" s="167"/>
      <c r="K67" s="167"/>
    </row>
    <row r="68" spans="1:11" ht="12">
      <c r="A68" s="167"/>
      <c r="B68" s="167"/>
      <c r="C68" s="167"/>
      <c r="D68" s="167"/>
      <c r="E68" s="167"/>
      <c r="F68" s="167"/>
      <c r="G68" s="167"/>
      <c r="H68" s="167"/>
      <c r="I68" s="167"/>
      <c r="J68" s="167"/>
      <c r="K68" s="167"/>
    </row>
    <row r="69" spans="1:11" ht="12">
      <c r="A69" s="167"/>
      <c r="B69" s="167"/>
      <c r="C69" s="167"/>
      <c r="D69" s="167"/>
      <c r="E69" s="167"/>
      <c r="F69" s="167"/>
      <c r="G69" s="167"/>
      <c r="H69" s="167"/>
      <c r="I69" s="167"/>
      <c r="J69" s="167"/>
      <c r="K69" s="167"/>
    </row>
    <row r="70" spans="1:11" ht="12">
      <c r="A70" s="167"/>
      <c r="B70" s="167"/>
      <c r="C70" s="167"/>
      <c r="D70" s="167"/>
      <c r="E70" s="167"/>
      <c r="F70" s="167"/>
      <c r="G70" s="167"/>
      <c r="H70" s="167"/>
      <c r="I70" s="167"/>
      <c r="J70" s="167"/>
      <c r="K70" s="167"/>
    </row>
    <row r="71" spans="1:11" ht="12">
      <c r="A71" s="167"/>
      <c r="B71" s="167"/>
      <c r="C71" s="167"/>
      <c r="D71" s="167"/>
      <c r="E71" s="167"/>
      <c r="F71" s="167"/>
      <c r="G71" s="167"/>
      <c r="H71" s="167"/>
      <c r="I71" s="167"/>
      <c r="J71" s="167"/>
      <c r="K71" s="167"/>
    </row>
    <row r="72" spans="1:11" ht="12">
      <c r="A72" s="167"/>
      <c r="B72" s="167"/>
      <c r="C72" s="167"/>
      <c r="D72" s="167"/>
      <c r="E72" s="167"/>
      <c r="F72" s="167"/>
      <c r="G72" s="167"/>
      <c r="H72" s="167"/>
      <c r="I72" s="167"/>
      <c r="J72" s="167"/>
      <c r="K72" s="167"/>
    </row>
    <row r="73" spans="1:11" ht="12">
      <c r="A73" s="167"/>
      <c r="B73" s="167"/>
      <c r="C73" s="167"/>
      <c r="D73" s="167"/>
      <c r="E73" s="167"/>
      <c r="F73" s="167"/>
      <c r="G73" s="167"/>
      <c r="H73" s="167"/>
      <c r="I73" s="167"/>
      <c r="J73" s="167"/>
      <c r="K73" s="167"/>
    </row>
    <row r="74" spans="1:11" ht="12">
      <c r="A74" s="167"/>
      <c r="B74" s="167"/>
      <c r="C74" s="167"/>
      <c r="D74" s="167"/>
      <c r="E74" s="167"/>
      <c r="F74" s="167"/>
      <c r="G74" s="167"/>
      <c r="H74" s="167"/>
      <c r="I74" s="167"/>
      <c r="J74" s="167"/>
      <c r="K74" s="167"/>
    </row>
    <row r="75" spans="1:11" ht="12">
      <c r="A75" s="167"/>
      <c r="B75" s="167"/>
      <c r="C75" s="167"/>
      <c r="D75" s="167"/>
      <c r="E75" s="167"/>
      <c r="F75" s="167"/>
      <c r="G75" s="167"/>
      <c r="H75" s="167"/>
      <c r="I75" s="167"/>
      <c r="J75" s="167"/>
      <c r="K75" s="167"/>
    </row>
    <row r="76" spans="1:11" ht="12">
      <c r="A76" s="167"/>
      <c r="B76" s="167"/>
      <c r="C76" s="167"/>
      <c r="D76" s="167"/>
      <c r="E76" s="167"/>
      <c r="F76" s="167"/>
      <c r="G76" s="167"/>
      <c r="H76" s="167"/>
      <c r="I76" s="167"/>
      <c r="J76" s="167"/>
      <c r="K76" s="167"/>
    </row>
    <row r="77" spans="1:11" ht="12">
      <c r="A77" s="167"/>
      <c r="B77" s="167"/>
      <c r="C77" s="167"/>
      <c r="D77" s="167"/>
      <c r="E77" s="167"/>
      <c r="F77" s="167"/>
      <c r="G77" s="167"/>
      <c r="H77" s="167"/>
      <c r="I77" s="167"/>
      <c r="J77" s="167"/>
      <c r="K77" s="167"/>
    </row>
    <row r="78" spans="1:11" ht="12">
      <c r="A78" s="167"/>
      <c r="B78" s="167"/>
      <c r="C78" s="167"/>
      <c r="D78" s="167"/>
      <c r="E78" s="167"/>
      <c r="F78" s="167"/>
      <c r="G78" s="167"/>
      <c r="H78" s="167"/>
      <c r="I78" s="167"/>
      <c r="J78" s="167"/>
      <c r="K78" s="167"/>
    </row>
    <row r="79" spans="1:11" ht="12">
      <c r="A79" s="167"/>
      <c r="B79" s="167"/>
      <c r="C79" s="167"/>
      <c r="D79" s="167"/>
      <c r="E79" s="167"/>
      <c r="F79" s="167"/>
      <c r="G79" s="167"/>
      <c r="H79" s="167"/>
      <c r="I79" s="167"/>
      <c r="J79" s="167"/>
      <c r="K79" s="167"/>
    </row>
    <row r="80" spans="1:11" ht="12">
      <c r="A80" s="167"/>
      <c r="B80" s="167"/>
      <c r="C80" s="167"/>
      <c r="D80" s="167"/>
      <c r="E80" s="167"/>
      <c r="F80" s="167"/>
      <c r="G80" s="167"/>
      <c r="H80" s="167"/>
      <c r="I80" s="167"/>
      <c r="J80" s="167"/>
      <c r="K80" s="167"/>
    </row>
    <row r="81" spans="1:11" ht="12">
      <c r="A81" s="167"/>
      <c r="B81" s="167"/>
      <c r="C81" s="167"/>
      <c r="D81" s="167"/>
      <c r="E81" s="167"/>
      <c r="F81" s="167"/>
      <c r="G81" s="167"/>
      <c r="H81" s="167"/>
      <c r="I81" s="167"/>
      <c r="J81" s="167"/>
      <c r="K81" s="167"/>
    </row>
    <row r="82" spans="1:11" ht="12">
      <c r="A82" s="167"/>
      <c r="B82" s="167"/>
      <c r="C82" s="167"/>
      <c r="D82" s="167"/>
      <c r="E82" s="167"/>
      <c r="F82" s="167"/>
      <c r="G82" s="167"/>
      <c r="H82" s="167"/>
      <c r="I82" s="167"/>
      <c r="J82" s="167"/>
      <c r="K82" s="167"/>
    </row>
    <row r="83" spans="1:11" ht="12">
      <c r="A83" s="167"/>
      <c r="B83" s="167"/>
      <c r="C83" s="167"/>
      <c r="D83" s="167"/>
      <c r="E83" s="167"/>
      <c r="F83" s="167"/>
      <c r="G83" s="167"/>
      <c r="H83" s="167"/>
      <c r="I83" s="167"/>
      <c r="J83" s="167"/>
      <c r="K83" s="167"/>
    </row>
    <row r="84" spans="1:11" ht="12">
      <c r="A84" s="167"/>
      <c r="B84" s="167"/>
      <c r="C84" s="167"/>
      <c r="D84" s="167"/>
      <c r="E84" s="167"/>
      <c r="F84" s="167"/>
      <c r="G84" s="167"/>
      <c r="H84" s="167"/>
      <c r="I84" s="167"/>
      <c r="J84" s="167"/>
      <c r="K84" s="167"/>
    </row>
    <row r="85" spans="1:11" ht="12">
      <c r="A85" s="167"/>
      <c r="B85" s="167"/>
      <c r="C85" s="167"/>
      <c r="D85" s="167"/>
      <c r="E85" s="167"/>
      <c r="F85" s="167"/>
      <c r="G85" s="167"/>
      <c r="H85" s="167"/>
      <c r="I85" s="167"/>
      <c r="J85" s="167"/>
      <c r="K85" s="167"/>
    </row>
    <row r="86" spans="1:11" ht="12">
      <c r="A86" s="167"/>
      <c r="B86" s="167"/>
      <c r="C86" s="167"/>
      <c r="D86" s="167"/>
      <c r="E86" s="167"/>
      <c r="F86" s="167"/>
      <c r="G86" s="167"/>
      <c r="H86" s="167"/>
      <c r="I86" s="167"/>
      <c r="J86" s="167"/>
      <c r="K86" s="167"/>
    </row>
    <row r="87" spans="1:11" ht="12">
      <c r="A87" s="167"/>
      <c r="B87" s="167"/>
      <c r="C87" s="167"/>
      <c r="D87" s="167"/>
      <c r="E87" s="167"/>
      <c r="F87" s="167"/>
      <c r="G87" s="167"/>
      <c r="H87" s="167"/>
      <c r="I87" s="167"/>
      <c r="J87" s="167"/>
      <c r="K87" s="167"/>
    </row>
    <row r="88" spans="1:11" ht="12">
      <c r="A88" s="167"/>
      <c r="B88" s="167"/>
      <c r="C88" s="167"/>
      <c r="D88" s="167"/>
      <c r="E88" s="167"/>
      <c r="F88" s="167"/>
      <c r="G88" s="167"/>
      <c r="H88" s="167"/>
      <c r="I88" s="167"/>
      <c r="J88" s="167"/>
      <c r="K88" s="167"/>
    </row>
    <row r="89" spans="1:11" ht="12">
      <c r="A89" s="167"/>
      <c r="B89" s="167"/>
      <c r="C89" s="167"/>
      <c r="D89" s="167"/>
      <c r="E89" s="167"/>
      <c r="F89" s="167"/>
      <c r="G89" s="167"/>
      <c r="H89" s="167"/>
      <c r="I89" s="167"/>
      <c r="J89" s="167"/>
      <c r="K89" s="167"/>
    </row>
    <row r="90" spans="1:11" ht="12">
      <c r="A90" s="167"/>
      <c r="B90" s="167"/>
      <c r="C90" s="167"/>
      <c r="D90" s="167"/>
      <c r="E90" s="167"/>
      <c r="F90" s="167"/>
      <c r="G90" s="167"/>
      <c r="H90" s="167"/>
      <c r="I90" s="167"/>
      <c r="J90" s="167"/>
      <c r="K90" s="167"/>
    </row>
    <row r="91" spans="1:11" ht="12">
      <c r="A91" s="167"/>
      <c r="B91" s="167"/>
      <c r="C91" s="167"/>
      <c r="D91" s="167"/>
      <c r="E91" s="167"/>
      <c r="F91" s="167"/>
      <c r="G91" s="167"/>
      <c r="H91" s="167"/>
      <c r="I91" s="167"/>
      <c r="J91" s="167"/>
      <c r="K91" s="167"/>
    </row>
    <row r="92" spans="1:11" ht="12">
      <c r="A92" s="167"/>
      <c r="B92" s="167"/>
      <c r="C92" s="167"/>
      <c r="D92" s="167"/>
      <c r="E92" s="167"/>
      <c r="F92" s="167"/>
      <c r="G92" s="167"/>
      <c r="H92" s="167"/>
      <c r="I92" s="167"/>
      <c r="J92" s="167"/>
      <c r="K92" s="167"/>
    </row>
    <row r="93" spans="1:11" ht="12">
      <c r="A93" s="167"/>
      <c r="B93" s="167"/>
      <c r="C93" s="167"/>
      <c r="D93" s="167"/>
      <c r="E93" s="167"/>
      <c r="F93" s="167"/>
      <c r="G93" s="167"/>
      <c r="H93" s="167"/>
      <c r="I93" s="167"/>
      <c r="J93" s="167"/>
      <c r="K93" s="167"/>
    </row>
  </sheetData>
  <pageMargins left="0.75" right="0.75" top="1" bottom="1" header="0.5" footer="0.5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opLeftCell="F22" workbookViewId="0">
      <selection activeCell="J14" sqref="J14"/>
    </sheetView>
  </sheetViews>
  <sheetFormatPr baseColWidth="10" defaultRowHeight="15" x14ac:dyDescent="0"/>
  <cols>
    <col min="1" max="1" width="10.83203125" style="1"/>
    <col min="2" max="2" width="15.33203125" style="1" bestFit="1" customWidth="1"/>
    <col min="3" max="8" width="10.83203125" style="1"/>
    <col min="9" max="10" width="15.1640625" style="1" bestFit="1" customWidth="1"/>
    <col min="11" max="16384" width="10.83203125" style="1"/>
  </cols>
  <sheetData>
    <row r="1" spans="1:18">
      <c r="B1" s="241" t="s">
        <v>77</v>
      </c>
      <c r="C1" s="241"/>
      <c r="D1" s="241"/>
      <c r="E1" s="241"/>
      <c r="F1" s="241"/>
      <c r="G1" s="241"/>
      <c r="J1" s="8"/>
      <c r="L1" s="241" t="s">
        <v>78</v>
      </c>
      <c r="M1" s="241"/>
      <c r="N1" s="241"/>
      <c r="O1" s="241"/>
      <c r="P1" s="241"/>
      <c r="Q1" s="241"/>
    </row>
    <row r="2" spans="1:18">
      <c r="B2" s="1" t="s">
        <v>79</v>
      </c>
      <c r="C2" s="1" t="s">
        <v>80</v>
      </c>
      <c r="D2" s="1" t="s">
        <v>81</v>
      </c>
      <c r="E2" s="1" t="s">
        <v>80</v>
      </c>
      <c r="F2" s="1" t="s">
        <v>82</v>
      </c>
      <c r="G2" s="1" t="s">
        <v>80</v>
      </c>
      <c r="H2" s="1" t="s">
        <v>83</v>
      </c>
      <c r="I2" s="1" t="s">
        <v>84</v>
      </c>
      <c r="J2" s="1" t="s">
        <v>85</v>
      </c>
      <c r="L2" s="1" t="s">
        <v>79</v>
      </c>
      <c r="M2" s="1" t="s">
        <v>86</v>
      </c>
      <c r="N2" s="1" t="s">
        <v>81</v>
      </c>
      <c r="O2" s="1" t="s">
        <v>86</v>
      </c>
      <c r="P2" s="1" t="s">
        <v>82</v>
      </c>
      <c r="Q2" s="1" t="s">
        <v>86</v>
      </c>
    </row>
    <row r="3" spans="1:18">
      <c r="A3" s="1" t="s">
        <v>87</v>
      </c>
      <c r="B3" s="1">
        <v>14200000</v>
      </c>
      <c r="D3" s="1">
        <v>5990000</v>
      </c>
      <c r="F3" s="1">
        <v>900000</v>
      </c>
      <c r="H3" s="1">
        <f>B3+D3+F3</f>
        <v>21090000</v>
      </c>
      <c r="L3" s="9">
        <f t="shared" ref="L3:L9" si="0">B3/($B3+$D3+$F3)</f>
        <v>0.67330488383119957</v>
      </c>
      <c r="M3" s="9"/>
      <c r="N3" s="9">
        <f t="shared" ref="N3:N9" si="1">D3/($B3+$D3+$F3)</f>
        <v>0.28402086296823137</v>
      </c>
      <c r="O3" s="9"/>
      <c r="P3" s="9">
        <f t="shared" ref="P3:P9" si="2">F3/($B3+$D3+$F3)</f>
        <v>4.2674253200568987E-2</v>
      </c>
      <c r="Q3" s="9"/>
      <c r="R3" s="10"/>
    </row>
    <row r="4" spans="1:18">
      <c r="A4" s="1" t="s">
        <v>88</v>
      </c>
      <c r="B4" s="1">
        <v>15000000</v>
      </c>
      <c r="C4" s="1">
        <f>B4-B3</f>
        <v>800000</v>
      </c>
      <c r="D4" s="1">
        <v>5850000</v>
      </c>
      <c r="E4" s="1">
        <f>D4-D3</f>
        <v>-140000</v>
      </c>
      <c r="F4" s="1">
        <v>2900000</v>
      </c>
      <c r="G4" s="1">
        <f>F4-F3</f>
        <v>2000000</v>
      </c>
      <c r="H4" s="1">
        <f>B4+D4+F4</f>
        <v>23750000</v>
      </c>
      <c r="I4" s="1">
        <f>H4-H3</f>
        <v>2660000</v>
      </c>
      <c r="J4" s="9">
        <f t="shared" ref="J4:J9" si="3">(H4-H3)/H3</f>
        <v>0.12612612612612611</v>
      </c>
      <c r="L4" s="9">
        <f t="shared" si="0"/>
        <v>0.63157894736842102</v>
      </c>
      <c r="M4" s="9">
        <f>L4-L3</f>
        <v>-4.1725936462778557E-2</v>
      </c>
      <c r="N4" s="9">
        <f t="shared" si="1"/>
        <v>0.24631578947368421</v>
      </c>
      <c r="O4" s="9">
        <f>N4-N3</f>
        <v>-3.7705073494547159E-2</v>
      </c>
      <c r="P4" s="9">
        <f t="shared" si="2"/>
        <v>0.12210526315789473</v>
      </c>
      <c r="Q4" s="9">
        <f>P4-P3</f>
        <v>7.9431009957325743E-2</v>
      </c>
      <c r="R4" s="10">
        <f>L4+N4+P4</f>
        <v>1</v>
      </c>
    </row>
    <row r="5" spans="1:18">
      <c r="A5" s="1" t="s">
        <v>89</v>
      </c>
      <c r="B5" s="1">
        <v>14300000</v>
      </c>
      <c r="C5" s="1">
        <f t="shared" ref="C5:C9" si="4">B5-B4</f>
        <v>-700000</v>
      </c>
      <c r="D5" s="1">
        <v>7500000</v>
      </c>
      <c r="E5" s="1">
        <f t="shared" ref="E5:E9" si="5">D5-D4</f>
        <v>1650000</v>
      </c>
      <c r="F5" s="1">
        <v>3400000</v>
      </c>
      <c r="G5" s="1">
        <f t="shared" ref="G5:G9" si="6">F5-F4</f>
        <v>500000</v>
      </c>
      <c r="H5" s="1">
        <f t="shared" ref="H5:H9" si="7">B5+D5+F5</f>
        <v>25200000</v>
      </c>
      <c r="I5" s="1">
        <f t="shared" ref="I5:I9" si="8">H5-H4</f>
        <v>1450000</v>
      </c>
      <c r="J5" s="9">
        <f t="shared" si="3"/>
        <v>6.1052631578947365E-2</v>
      </c>
      <c r="L5" s="9">
        <f t="shared" si="0"/>
        <v>0.56746031746031744</v>
      </c>
      <c r="M5" s="9">
        <f t="shared" ref="M5:M9" si="9">L5-L4</f>
        <v>-6.4118629908103575E-2</v>
      </c>
      <c r="N5" s="9">
        <f t="shared" si="1"/>
        <v>0.29761904761904762</v>
      </c>
      <c r="O5" s="9">
        <f t="shared" ref="O5:O9" si="10">N5-N4</f>
        <v>5.1303258145363406E-2</v>
      </c>
      <c r="P5" s="9">
        <f t="shared" si="2"/>
        <v>0.13492063492063491</v>
      </c>
      <c r="Q5" s="9">
        <f t="shared" ref="Q5:Q9" si="11">P5-P4</f>
        <v>1.2815371762740183E-2</v>
      </c>
      <c r="R5" s="10">
        <f t="shared" ref="R5:R9" si="12">L5+N5+P5</f>
        <v>1</v>
      </c>
    </row>
    <row r="6" spans="1:18">
      <c r="A6" s="1" t="s">
        <v>90</v>
      </c>
      <c r="B6" s="1">
        <v>15200000</v>
      </c>
      <c r="C6" s="1">
        <f t="shared" si="4"/>
        <v>900000</v>
      </c>
      <c r="D6" s="1">
        <v>11000000</v>
      </c>
      <c r="E6" s="1">
        <f t="shared" si="5"/>
        <v>3500000</v>
      </c>
      <c r="F6" s="1">
        <v>3350000</v>
      </c>
      <c r="G6" s="1">
        <f t="shared" si="6"/>
        <v>-50000</v>
      </c>
      <c r="H6" s="1">
        <f t="shared" si="7"/>
        <v>29550000</v>
      </c>
      <c r="I6" s="1">
        <f t="shared" si="8"/>
        <v>4350000</v>
      </c>
      <c r="J6" s="9">
        <f t="shared" si="3"/>
        <v>0.17261904761904762</v>
      </c>
      <c r="L6" s="9">
        <f t="shared" si="0"/>
        <v>0.51438240270727575</v>
      </c>
      <c r="M6" s="9">
        <f t="shared" si="9"/>
        <v>-5.3077914753041688E-2</v>
      </c>
      <c r="N6" s="9">
        <f t="shared" si="1"/>
        <v>0.37225042301184436</v>
      </c>
      <c r="O6" s="9">
        <f t="shared" si="10"/>
        <v>7.4631375392796739E-2</v>
      </c>
      <c r="P6" s="9">
        <f t="shared" si="2"/>
        <v>0.11336717428087986</v>
      </c>
      <c r="Q6" s="9">
        <f t="shared" si="11"/>
        <v>-2.1553460639755051E-2</v>
      </c>
      <c r="R6" s="10">
        <f t="shared" si="12"/>
        <v>0.99999999999999989</v>
      </c>
    </row>
    <row r="7" spans="1:18">
      <c r="A7" s="1" t="s">
        <v>91</v>
      </c>
      <c r="B7" s="1">
        <v>12900000</v>
      </c>
      <c r="C7" s="1">
        <f t="shared" si="4"/>
        <v>-2300000</v>
      </c>
      <c r="D7" s="1">
        <v>12900000</v>
      </c>
      <c r="E7" s="1">
        <f t="shared" si="5"/>
        <v>1900000</v>
      </c>
      <c r="F7" s="1">
        <v>7600000</v>
      </c>
      <c r="G7" s="1">
        <f t="shared" si="6"/>
        <v>4250000</v>
      </c>
      <c r="H7" s="1">
        <f t="shared" si="7"/>
        <v>33400000</v>
      </c>
      <c r="I7" s="1">
        <f t="shared" si="8"/>
        <v>3850000</v>
      </c>
      <c r="J7" s="9">
        <f t="shared" si="3"/>
        <v>0.13028764805414553</v>
      </c>
      <c r="L7" s="9">
        <f t="shared" si="0"/>
        <v>0.38622754491017963</v>
      </c>
      <c r="M7" s="9">
        <f t="shared" si="9"/>
        <v>-0.12815485779709612</v>
      </c>
      <c r="N7" s="9">
        <f t="shared" si="1"/>
        <v>0.38622754491017963</v>
      </c>
      <c r="O7" s="9">
        <f t="shared" si="10"/>
        <v>1.3977121898335276E-2</v>
      </c>
      <c r="P7" s="9">
        <f t="shared" si="2"/>
        <v>0.22754491017964071</v>
      </c>
      <c r="Q7" s="9">
        <f t="shared" si="11"/>
        <v>0.11417773589876085</v>
      </c>
      <c r="R7" s="10">
        <f t="shared" si="12"/>
        <v>1</v>
      </c>
    </row>
    <row r="8" spans="1:18">
      <c r="A8" s="1" t="s">
        <v>92</v>
      </c>
      <c r="B8" s="1">
        <v>12700000</v>
      </c>
      <c r="C8" s="1">
        <f t="shared" si="4"/>
        <v>-200000</v>
      </c>
      <c r="D8" s="1">
        <v>15100000</v>
      </c>
      <c r="E8" s="1">
        <f t="shared" si="5"/>
        <v>2200000</v>
      </c>
      <c r="F8" s="1">
        <v>12700000</v>
      </c>
      <c r="G8" s="1">
        <f t="shared" si="6"/>
        <v>5100000</v>
      </c>
      <c r="H8" s="1">
        <f t="shared" si="7"/>
        <v>40500000</v>
      </c>
      <c r="I8" s="1">
        <f t="shared" si="8"/>
        <v>7100000</v>
      </c>
      <c r="J8" s="9">
        <f t="shared" si="3"/>
        <v>0.21257485029940121</v>
      </c>
      <c r="L8" s="9">
        <f t="shared" si="0"/>
        <v>0.31358024691358027</v>
      </c>
      <c r="M8" s="9">
        <f t="shared" si="9"/>
        <v>-7.2647297996599358E-2</v>
      </c>
      <c r="N8" s="9">
        <f t="shared" si="1"/>
        <v>0.37283950617283951</v>
      </c>
      <c r="O8" s="9">
        <f t="shared" si="10"/>
        <v>-1.3388038737340124E-2</v>
      </c>
      <c r="P8" s="9">
        <f t="shared" si="2"/>
        <v>0.31358024691358027</v>
      </c>
      <c r="Q8" s="9">
        <f t="shared" si="11"/>
        <v>8.6035336733939566E-2</v>
      </c>
      <c r="R8" s="10">
        <f t="shared" si="12"/>
        <v>1</v>
      </c>
    </row>
    <row r="9" spans="1:18">
      <c r="A9" s="1" t="s">
        <v>93</v>
      </c>
      <c r="B9" s="1">
        <v>12700000</v>
      </c>
      <c r="C9" s="1">
        <f t="shared" si="4"/>
        <v>0</v>
      </c>
      <c r="D9" s="1">
        <v>12700000</v>
      </c>
      <c r="E9" s="1">
        <f t="shared" si="5"/>
        <v>-2400000</v>
      </c>
      <c r="F9" s="1">
        <v>25000000</v>
      </c>
      <c r="G9" s="1">
        <f t="shared" si="6"/>
        <v>12300000</v>
      </c>
      <c r="H9" s="1">
        <f t="shared" si="7"/>
        <v>50400000</v>
      </c>
      <c r="I9" s="1">
        <f t="shared" si="8"/>
        <v>9900000</v>
      </c>
      <c r="J9" s="9">
        <f t="shared" si="3"/>
        <v>0.24444444444444444</v>
      </c>
      <c r="L9" s="9">
        <f t="shared" si="0"/>
        <v>0.25198412698412698</v>
      </c>
      <c r="M9" s="9">
        <f t="shared" si="9"/>
        <v>-6.1596119929453297E-2</v>
      </c>
      <c r="N9" s="9">
        <f t="shared" si="1"/>
        <v>0.25198412698412698</v>
      </c>
      <c r="O9" s="9">
        <f t="shared" si="10"/>
        <v>-0.12085537918871253</v>
      </c>
      <c r="P9" s="9">
        <f t="shared" si="2"/>
        <v>0.49603174603174605</v>
      </c>
      <c r="Q9" s="9">
        <f t="shared" si="11"/>
        <v>0.18245149911816577</v>
      </c>
      <c r="R9" s="10">
        <f t="shared" si="12"/>
        <v>1</v>
      </c>
    </row>
    <row r="11" spans="1:18">
      <c r="J11" s="9"/>
    </row>
    <row r="12" spans="1:18">
      <c r="B12" s="1" t="s">
        <v>94</v>
      </c>
      <c r="C12" s="1" t="s">
        <v>81</v>
      </c>
      <c r="D12" s="1" t="s">
        <v>95</v>
      </c>
      <c r="E12" s="1" t="s">
        <v>96</v>
      </c>
    </row>
    <row r="13" spans="1:18">
      <c r="A13" s="1" t="s">
        <v>91</v>
      </c>
      <c r="B13" s="1">
        <v>-2300000</v>
      </c>
      <c r="C13" s="1">
        <v>1900000</v>
      </c>
      <c r="D13" s="1">
        <v>4250000</v>
      </c>
      <c r="E13" s="1">
        <v>3850000</v>
      </c>
      <c r="G13" s="9"/>
      <c r="H13" s="9"/>
      <c r="I13" s="9"/>
    </row>
    <row r="14" spans="1:18">
      <c r="A14" s="1" t="s">
        <v>92</v>
      </c>
      <c r="B14" s="1">
        <v>-200000</v>
      </c>
      <c r="C14" s="1">
        <v>2200000</v>
      </c>
      <c r="D14" s="1">
        <v>5100000</v>
      </c>
      <c r="E14" s="1">
        <v>7100000</v>
      </c>
      <c r="G14" s="9"/>
      <c r="H14" s="9"/>
      <c r="I14" s="9"/>
    </row>
    <row r="15" spans="1:18">
      <c r="A15" s="1" t="s">
        <v>93</v>
      </c>
      <c r="B15" s="1">
        <v>0</v>
      </c>
      <c r="C15" s="1">
        <v>-2400000</v>
      </c>
      <c r="D15" s="1">
        <v>12300000</v>
      </c>
      <c r="E15" s="1">
        <v>9900000</v>
      </c>
      <c r="G15" s="9"/>
      <c r="H15" s="9"/>
      <c r="I15" s="9"/>
      <c r="J15" s="9"/>
    </row>
    <row r="16" spans="1:18">
      <c r="G16" s="9"/>
      <c r="H16" s="9"/>
      <c r="I16" s="9"/>
    </row>
  </sheetData>
  <mergeCells count="2">
    <mergeCell ref="B1:G1"/>
    <mergeCell ref="L1:Q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6"/>
  <sheetViews>
    <sheetView workbookViewId="0">
      <selection activeCell="C20" sqref="C20"/>
    </sheetView>
  </sheetViews>
  <sheetFormatPr baseColWidth="10" defaultRowHeight="15" x14ac:dyDescent="0"/>
  <cols>
    <col min="1" max="1" width="10.83203125" style="1"/>
    <col min="2" max="2" width="10.1640625" style="1" bestFit="1" customWidth="1"/>
    <col min="3" max="7" width="13" style="1" bestFit="1" customWidth="1"/>
    <col min="8" max="13" width="14.33203125" style="1" bestFit="1" customWidth="1"/>
    <col min="14" max="17" width="12.5" style="1" bestFit="1" customWidth="1"/>
    <col min="18" max="16384" width="10.83203125" style="1"/>
  </cols>
  <sheetData>
    <row r="1" spans="1:18">
      <c r="A1" s="192"/>
      <c r="B1" s="193"/>
      <c r="C1" s="193" t="s">
        <v>13</v>
      </c>
      <c r="D1" s="193" t="s">
        <v>14</v>
      </c>
      <c r="E1" s="193" t="s">
        <v>15</v>
      </c>
      <c r="F1" s="193" t="s">
        <v>16</v>
      </c>
      <c r="G1" s="193" t="s">
        <v>17</v>
      </c>
      <c r="H1" s="193" t="s">
        <v>18</v>
      </c>
      <c r="I1" s="193" t="s">
        <v>19</v>
      </c>
      <c r="J1" s="193" t="s">
        <v>420</v>
      </c>
      <c r="K1" s="194" t="s">
        <v>21</v>
      </c>
      <c r="L1" s="194" t="s">
        <v>187</v>
      </c>
      <c r="M1" s="194" t="s">
        <v>23</v>
      </c>
      <c r="N1" s="194" t="s">
        <v>24</v>
      </c>
      <c r="O1" s="192" t="s">
        <v>25</v>
      </c>
      <c r="P1" s="192" t="s">
        <v>26</v>
      </c>
      <c r="Q1" s="192" t="s">
        <v>27</v>
      </c>
    </row>
    <row r="2" spans="1:18">
      <c r="A2" s="192"/>
      <c r="B2" s="193"/>
      <c r="C2" s="193"/>
      <c r="D2" s="193"/>
      <c r="E2" s="193"/>
      <c r="F2" s="193"/>
      <c r="G2" s="193"/>
      <c r="H2" s="193"/>
      <c r="I2" s="192"/>
      <c r="J2" s="192"/>
      <c r="K2" s="192"/>
      <c r="L2" s="192"/>
      <c r="M2" s="192"/>
      <c r="N2" s="104"/>
      <c r="O2" s="192"/>
      <c r="P2" s="192"/>
      <c r="Q2" s="192"/>
    </row>
    <row r="3" spans="1:18" ht="16">
      <c r="A3" s="193"/>
      <c r="B3" s="193" t="s">
        <v>349</v>
      </c>
      <c r="C3" s="196">
        <v>100000</v>
      </c>
      <c r="D3" s="196">
        <v>100000</v>
      </c>
      <c r="E3" s="196">
        <f>0.22*9700000</f>
        <v>2134000</v>
      </c>
      <c r="F3" s="196">
        <f>0.34*7200000</f>
        <v>2448000</v>
      </c>
      <c r="G3" s="196">
        <f>0.268*(13600000)</f>
        <v>3644800</v>
      </c>
      <c r="H3" s="196">
        <v>4500000</v>
      </c>
      <c r="I3" s="196">
        <v>10500000</v>
      </c>
      <c r="J3" s="196">
        <v>2656000</v>
      </c>
      <c r="K3" s="196">
        <f>7300000-K5-K7</f>
        <v>5923000</v>
      </c>
      <c r="L3" s="196">
        <v>10200000</v>
      </c>
      <c r="M3" s="196">
        <f>30500000</f>
        <v>30500000</v>
      </c>
      <c r="N3" s="197">
        <v>25466750</v>
      </c>
      <c r="O3" s="215">
        <v>32819000</v>
      </c>
      <c r="P3" s="215">
        <v>31609797</v>
      </c>
      <c r="Q3" s="215">
        <v>41500000</v>
      </c>
      <c r="R3" s="216"/>
    </row>
    <row r="4" spans="1:18" ht="16">
      <c r="A4" s="193"/>
      <c r="B4" s="193" t="s">
        <v>49</v>
      </c>
      <c r="C4" s="196">
        <v>3270000</v>
      </c>
      <c r="D4" s="196">
        <v>4190000</v>
      </c>
      <c r="E4" s="196">
        <v>7330000</v>
      </c>
      <c r="F4" s="196">
        <v>4690000</v>
      </c>
      <c r="G4" s="196">
        <v>9250000</v>
      </c>
      <c r="H4" s="196">
        <v>11120000</v>
      </c>
      <c r="I4" s="196">
        <v>15434000</v>
      </c>
      <c r="J4" s="196">
        <v>11798000</v>
      </c>
      <c r="K4" s="196">
        <v>17042000</v>
      </c>
      <c r="L4" s="196">
        <v>14030000</v>
      </c>
      <c r="M4" s="196">
        <v>22900000</v>
      </c>
      <c r="N4" s="197">
        <v>19477000</v>
      </c>
      <c r="O4" s="215">
        <v>14617000</v>
      </c>
      <c r="P4" s="215">
        <v>14100000</v>
      </c>
      <c r="Q4" s="215">
        <v>26000000</v>
      </c>
      <c r="R4" s="216"/>
    </row>
    <row r="5" spans="1:18" ht="40">
      <c r="A5" s="193"/>
      <c r="B5" s="193" t="s">
        <v>422</v>
      </c>
      <c r="C5" s="196"/>
      <c r="D5" s="196"/>
      <c r="E5" s="196"/>
      <c r="F5" s="196"/>
      <c r="G5" s="196"/>
      <c r="H5" s="196"/>
      <c r="I5" s="196">
        <v>4750000</v>
      </c>
      <c r="J5" s="196">
        <v>1185000</v>
      </c>
      <c r="K5" s="196">
        <v>1027000</v>
      </c>
      <c r="L5" s="196">
        <v>2100000</v>
      </c>
      <c r="M5" s="196">
        <v>6000000</v>
      </c>
      <c r="N5" s="197">
        <v>1800000</v>
      </c>
      <c r="O5" s="215">
        <v>1550000</v>
      </c>
      <c r="P5" s="215">
        <v>2500000</v>
      </c>
      <c r="Q5" s="215">
        <v>5800000</v>
      </c>
      <c r="R5" s="216">
        <f>Q5/M5-1</f>
        <v>-3.3333333333333326E-2</v>
      </c>
    </row>
    <row r="6" spans="1:18" ht="16">
      <c r="A6" s="200"/>
      <c r="B6" s="200" t="s">
        <v>29</v>
      </c>
      <c r="C6" s="196">
        <v>0</v>
      </c>
      <c r="D6" s="196">
        <v>0</v>
      </c>
      <c r="E6" s="196">
        <v>0</v>
      </c>
      <c r="F6" s="196">
        <v>0</v>
      </c>
      <c r="G6" s="196">
        <v>500000</v>
      </c>
      <c r="H6" s="196">
        <v>200000</v>
      </c>
      <c r="I6" s="196">
        <v>150000</v>
      </c>
      <c r="J6" s="196">
        <v>500000</v>
      </c>
      <c r="K6" s="196">
        <v>260000</v>
      </c>
      <c r="L6" s="196">
        <v>150000</v>
      </c>
      <c r="M6" s="196">
        <v>255000</v>
      </c>
      <c r="N6" s="197">
        <v>370000</v>
      </c>
      <c r="O6" s="199">
        <v>100000</v>
      </c>
      <c r="P6" s="199">
        <v>40041</v>
      </c>
      <c r="Q6" s="199">
        <v>45000</v>
      </c>
    </row>
    <row r="7" spans="1:18" ht="40">
      <c r="A7" s="201"/>
      <c r="B7" s="200" t="s">
        <v>424</v>
      </c>
      <c r="C7" s="196"/>
      <c r="D7" s="196"/>
      <c r="E7" s="196"/>
      <c r="F7" s="196"/>
      <c r="G7" s="196"/>
      <c r="H7" s="196"/>
      <c r="I7" s="196">
        <v>2025000</v>
      </c>
      <c r="J7" s="196">
        <f>J5/2</f>
        <v>592500</v>
      </c>
      <c r="K7" s="196">
        <v>350000</v>
      </c>
      <c r="L7" s="196">
        <f>(L5/K5-1)*K7</f>
        <v>365676.72833495616</v>
      </c>
      <c r="M7" s="196">
        <v>1000000</v>
      </c>
      <c r="N7" s="197">
        <v>533250</v>
      </c>
      <c r="O7" s="199">
        <f>K7-(K7*0.34)</f>
        <v>231000</v>
      </c>
      <c r="P7" s="199">
        <v>200000</v>
      </c>
      <c r="Q7" s="199">
        <v>175000</v>
      </c>
    </row>
    <row r="8" spans="1:18" ht="16">
      <c r="A8" s="202"/>
      <c r="B8" s="202" t="s">
        <v>426</v>
      </c>
      <c r="C8" s="196"/>
      <c r="D8" s="196"/>
      <c r="E8" s="196"/>
      <c r="F8" s="196"/>
      <c r="G8" s="196"/>
      <c r="H8" s="196"/>
      <c r="I8" s="196"/>
      <c r="J8" s="196"/>
      <c r="K8" s="196">
        <v>200000</v>
      </c>
      <c r="L8" s="196">
        <v>400000</v>
      </c>
      <c r="M8" s="196">
        <f>900000+900000</f>
        <v>1800000</v>
      </c>
      <c r="N8" s="197">
        <v>1800000</v>
      </c>
      <c r="O8" s="215">
        <v>2300000</v>
      </c>
      <c r="P8" s="215">
        <v>1630869</v>
      </c>
      <c r="Q8" s="215">
        <v>3300000</v>
      </c>
    </row>
    <row r="9" spans="1:18">
      <c r="C9" s="203">
        <f t="shared" ref="C9:O9" si="0">SUM(C3:C8)</f>
        <v>3370000</v>
      </c>
      <c r="D9" s="203">
        <f t="shared" si="0"/>
        <v>4290000</v>
      </c>
      <c r="E9" s="203">
        <f t="shared" si="0"/>
        <v>9464000</v>
      </c>
      <c r="F9" s="203">
        <f t="shared" si="0"/>
        <v>7138000</v>
      </c>
      <c r="G9" s="203">
        <f t="shared" si="0"/>
        <v>13394800</v>
      </c>
      <c r="H9" s="203">
        <f t="shared" si="0"/>
        <v>15820000</v>
      </c>
      <c r="I9" s="203">
        <f t="shared" si="0"/>
        <v>32859000</v>
      </c>
      <c r="J9" s="203">
        <f t="shared" si="0"/>
        <v>16731500</v>
      </c>
      <c r="K9" s="203">
        <f t="shared" si="0"/>
        <v>24802000</v>
      </c>
      <c r="L9" s="203">
        <f t="shared" si="0"/>
        <v>27245676.728334956</v>
      </c>
      <c r="M9" s="203">
        <f t="shared" si="0"/>
        <v>62455000</v>
      </c>
      <c r="N9" s="203">
        <f t="shared" si="0"/>
        <v>49447000</v>
      </c>
      <c r="O9" s="203">
        <f t="shared" si="0"/>
        <v>51617000</v>
      </c>
      <c r="P9" s="203">
        <f>SUM(P3:P8)</f>
        <v>50080707</v>
      </c>
      <c r="Q9" s="203">
        <f>SUM(Q3:Q8)</f>
        <v>76820000</v>
      </c>
      <c r="R9" s="127"/>
    </row>
    <row r="10" spans="1:18">
      <c r="Q10" s="4">
        <f>SUM(N9:Q9)</f>
        <v>227964707</v>
      </c>
    </row>
    <row r="11" spans="1:18">
      <c r="B11" s="193" t="s">
        <v>349</v>
      </c>
      <c r="C11" s="216">
        <f t="shared" ref="C11:Q16" si="1">C3/C$9</f>
        <v>2.967359050445104E-2</v>
      </c>
      <c r="D11" s="216">
        <f t="shared" si="1"/>
        <v>2.3310023310023312E-2</v>
      </c>
      <c r="E11" s="216">
        <f t="shared" si="1"/>
        <v>0.22548605240912933</v>
      </c>
      <c r="F11" s="216">
        <f t="shared" si="1"/>
        <v>0.34295320818156344</v>
      </c>
      <c r="G11" s="216">
        <f t="shared" si="1"/>
        <v>0.27210559321527755</v>
      </c>
      <c r="H11" s="216">
        <f t="shared" si="1"/>
        <v>0.28445006321112515</v>
      </c>
      <c r="I11" s="216">
        <f t="shared" si="1"/>
        <v>0.31954715603031131</v>
      </c>
      <c r="J11" s="216">
        <f t="shared" si="1"/>
        <v>0.15874249170725876</v>
      </c>
      <c r="K11" s="216">
        <f t="shared" si="1"/>
        <v>0.23881138617853398</v>
      </c>
      <c r="L11" s="216">
        <f t="shared" si="1"/>
        <v>0.37437132142848206</v>
      </c>
      <c r="M11" s="216">
        <f t="shared" si="1"/>
        <v>0.48835161316147624</v>
      </c>
      <c r="N11" s="216">
        <f t="shared" si="1"/>
        <v>0.51503124557607138</v>
      </c>
      <c r="O11" s="216">
        <f t="shared" si="1"/>
        <v>0.6358176569734777</v>
      </c>
      <c r="P11" s="216">
        <f t="shared" si="1"/>
        <v>0.6311771317445658</v>
      </c>
      <c r="Q11" s="216">
        <f>Q3/Q$9</f>
        <v>0.54022390002603493</v>
      </c>
    </row>
    <row r="12" spans="1:18">
      <c r="B12" s="193" t="s">
        <v>49</v>
      </c>
      <c r="C12" s="216">
        <f t="shared" si="1"/>
        <v>0.97032640949554894</v>
      </c>
      <c r="D12" s="216">
        <f t="shared" si="1"/>
        <v>0.9766899766899767</v>
      </c>
      <c r="E12" s="216">
        <f t="shared" si="1"/>
        <v>0.77451394759087067</v>
      </c>
      <c r="F12" s="216">
        <f t="shared" si="1"/>
        <v>0.6570467918184365</v>
      </c>
      <c r="G12" s="216">
        <f t="shared" si="1"/>
        <v>0.69056648848807001</v>
      </c>
      <c r="H12" s="216">
        <f t="shared" si="1"/>
        <v>0.70290771175726929</v>
      </c>
      <c r="I12" s="216">
        <f t="shared" si="1"/>
        <v>0.4697038863020786</v>
      </c>
      <c r="J12" s="216">
        <f t="shared" si="1"/>
        <v>0.705137017003855</v>
      </c>
      <c r="K12" s="216">
        <f t="shared" si="1"/>
        <v>0.68712200628981535</v>
      </c>
      <c r="L12" s="216">
        <f t="shared" si="1"/>
        <v>0.51494408231780431</v>
      </c>
      <c r="M12" s="216">
        <f t="shared" si="1"/>
        <v>0.3666639980786166</v>
      </c>
      <c r="N12" s="216">
        <f t="shared" si="1"/>
        <v>0.39389649523732484</v>
      </c>
      <c r="O12" s="216">
        <f t="shared" si="1"/>
        <v>0.28318189743689093</v>
      </c>
      <c r="P12" s="216">
        <f t="shared" si="1"/>
        <v>0.2815455460722629</v>
      </c>
      <c r="Q12" s="216">
        <f t="shared" si="1"/>
        <v>0.33845352772715437</v>
      </c>
    </row>
    <row r="13" spans="1:18" ht="40">
      <c r="B13" s="193" t="s">
        <v>422</v>
      </c>
      <c r="C13" s="216">
        <f t="shared" si="1"/>
        <v>0</v>
      </c>
      <c r="D13" s="216">
        <f t="shared" si="1"/>
        <v>0</v>
      </c>
      <c r="E13" s="216">
        <f t="shared" si="1"/>
        <v>0</v>
      </c>
      <c r="F13" s="216">
        <f t="shared" si="1"/>
        <v>0</v>
      </c>
      <c r="G13" s="216">
        <f t="shared" si="1"/>
        <v>0</v>
      </c>
      <c r="H13" s="216">
        <f t="shared" si="1"/>
        <v>0</v>
      </c>
      <c r="I13" s="216">
        <f t="shared" si="1"/>
        <v>0.14455704677561704</v>
      </c>
      <c r="J13" s="216">
        <f t="shared" si="1"/>
        <v>7.0824492723306334E-2</v>
      </c>
      <c r="K13" s="216">
        <f t="shared" si="1"/>
        <v>4.1407950971695834E-2</v>
      </c>
      <c r="L13" s="216">
        <f t="shared" si="1"/>
        <v>7.7076448529393368E-2</v>
      </c>
      <c r="M13" s="216">
        <f t="shared" si="1"/>
        <v>9.6069169802257631E-2</v>
      </c>
      <c r="N13" s="216">
        <f t="shared" si="1"/>
        <v>3.6402612898659169E-2</v>
      </c>
      <c r="O13" s="216">
        <f t="shared" si="1"/>
        <v>3.0028866458724837E-2</v>
      </c>
      <c r="P13" s="216">
        <f t="shared" si="1"/>
        <v>4.9919423062457967E-2</v>
      </c>
      <c r="Q13" s="216">
        <f t="shared" si="1"/>
        <v>7.5501171569903672E-2</v>
      </c>
    </row>
    <row r="14" spans="1:18">
      <c r="B14" s="200" t="s">
        <v>29</v>
      </c>
      <c r="C14" s="216">
        <f t="shared" si="1"/>
        <v>0</v>
      </c>
      <c r="D14" s="216">
        <f t="shared" si="1"/>
        <v>0</v>
      </c>
      <c r="E14" s="216">
        <f t="shared" si="1"/>
        <v>0</v>
      </c>
      <c r="F14" s="216">
        <f t="shared" si="1"/>
        <v>0</v>
      </c>
      <c r="G14" s="216">
        <f t="shared" si="1"/>
        <v>3.7327918296652433E-2</v>
      </c>
      <c r="H14" s="216">
        <f t="shared" si="1"/>
        <v>1.2642225031605562E-2</v>
      </c>
      <c r="I14" s="216">
        <f t="shared" si="1"/>
        <v>4.5649593718615905E-3</v>
      </c>
      <c r="J14" s="216">
        <f t="shared" si="1"/>
        <v>2.9883752203926726E-2</v>
      </c>
      <c r="K14" s="216">
        <f t="shared" si="1"/>
        <v>1.048302556245464E-2</v>
      </c>
      <c r="L14" s="216">
        <f t="shared" si="1"/>
        <v>5.5054606092423833E-3</v>
      </c>
      <c r="M14" s="216">
        <f t="shared" si="1"/>
        <v>4.0829397165959491E-3</v>
      </c>
      <c r="N14" s="216">
        <f t="shared" si="1"/>
        <v>7.4827593180577185E-3</v>
      </c>
      <c r="O14" s="216">
        <f t="shared" si="1"/>
        <v>1.9373462231435379E-3</v>
      </c>
      <c r="P14" s="216">
        <f t="shared" si="1"/>
        <v>7.9952944753755172E-4</v>
      </c>
      <c r="Q14" s="216">
        <f t="shared" si="1"/>
        <v>5.8578495183545952E-4</v>
      </c>
    </row>
    <row r="15" spans="1:18" ht="40">
      <c r="B15" s="200" t="s">
        <v>424</v>
      </c>
      <c r="C15" s="216">
        <f t="shared" si="1"/>
        <v>0</v>
      </c>
      <c r="D15" s="216">
        <f t="shared" si="1"/>
        <v>0</v>
      </c>
      <c r="E15" s="216">
        <f t="shared" si="1"/>
        <v>0</v>
      </c>
      <c r="F15" s="216">
        <f t="shared" si="1"/>
        <v>0</v>
      </c>
      <c r="G15" s="216">
        <f t="shared" si="1"/>
        <v>0</v>
      </c>
      <c r="H15" s="216">
        <f t="shared" si="1"/>
        <v>0</v>
      </c>
      <c r="I15" s="216">
        <f t="shared" si="1"/>
        <v>6.1626951520131472E-2</v>
      </c>
      <c r="J15" s="216">
        <f t="shared" si="1"/>
        <v>3.5412246361653167E-2</v>
      </c>
      <c r="K15" s="216">
        <f t="shared" si="1"/>
        <v>1.4111765180227401E-2</v>
      </c>
      <c r="L15" s="216">
        <f t="shared" si="1"/>
        <v>1.3421458823764863E-2</v>
      </c>
      <c r="M15" s="216">
        <f t="shared" si="1"/>
        <v>1.601152830037627E-2</v>
      </c>
      <c r="N15" s="216">
        <f t="shared" si="1"/>
        <v>1.0784274071227779E-2</v>
      </c>
      <c r="O15" s="216">
        <f t="shared" si="1"/>
        <v>4.475269775461573E-3</v>
      </c>
      <c r="P15" s="216">
        <f t="shared" si="1"/>
        <v>3.9935538449966373E-3</v>
      </c>
      <c r="Q15" s="216">
        <f t="shared" si="1"/>
        <v>2.2780525904712314E-3</v>
      </c>
    </row>
    <row r="16" spans="1:18">
      <c r="B16" s="202" t="s">
        <v>426</v>
      </c>
      <c r="C16" s="216">
        <f t="shared" si="1"/>
        <v>0</v>
      </c>
      <c r="D16" s="216">
        <f t="shared" si="1"/>
        <v>0</v>
      </c>
      <c r="E16" s="216">
        <f t="shared" si="1"/>
        <v>0</v>
      </c>
      <c r="F16" s="216">
        <f t="shared" si="1"/>
        <v>0</v>
      </c>
      <c r="G16" s="216">
        <f t="shared" si="1"/>
        <v>0</v>
      </c>
      <c r="H16" s="216">
        <f t="shared" si="1"/>
        <v>0</v>
      </c>
      <c r="I16" s="216">
        <f t="shared" si="1"/>
        <v>0</v>
      </c>
      <c r="J16" s="216">
        <f t="shared" si="1"/>
        <v>0</v>
      </c>
      <c r="K16" s="216">
        <f t="shared" si="1"/>
        <v>8.0638658172728014E-3</v>
      </c>
      <c r="L16" s="216">
        <f t="shared" si="1"/>
        <v>1.4681228291313023E-2</v>
      </c>
      <c r="M16" s="216">
        <f t="shared" si="1"/>
        <v>2.8820750940677289E-2</v>
      </c>
      <c r="N16" s="216">
        <f t="shared" si="1"/>
        <v>3.6402612898659169E-2</v>
      </c>
      <c r="O16" s="216">
        <f t="shared" si="1"/>
        <v>4.4558963132301371E-2</v>
      </c>
      <c r="P16" s="216">
        <f t="shared" si="1"/>
        <v>3.2564815828179106E-2</v>
      </c>
      <c r="Q16" s="216">
        <f>Q8/Q$9</f>
        <v>4.2957563134600363E-2</v>
      </c>
    </row>
  </sheetData>
  <pageMargins left="0.75" right="0.75" top="1" bottom="1" header="0.5" footer="0.5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41"/>
  <sheetViews>
    <sheetView topLeftCell="A20" workbookViewId="0">
      <selection activeCell="N52" sqref="N52"/>
    </sheetView>
  </sheetViews>
  <sheetFormatPr baseColWidth="10" defaultRowHeight="15" x14ac:dyDescent="0"/>
  <cols>
    <col min="1" max="2" width="10.83203125" style="1"/>
    <col min="3" max="20" width="16.1640625" style="1" bestFit="1" customWidth="1"/>
    <col min="21" max="22" width="12.5" style="1" bestFit="1" customWidth="1"/>
    <col min="23" max="16384" width="10.83203125" style="1"/>
  </cols>
  <sheetData>
    <row r="2" spans="2:22">
      <c r="C2" s="1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  <c r="M2" s="1" t="s">
        <v>18</v>
      </c>
      <c r="N2" s="1" t="s">
        <v>19</v>
      </c>
      <c r="O2" s="1" t="s">
        <v>20</v>
      </c>
      <c r="P2" s="1" t="s">
        <v>21</v>
      </c>
      <c r="Q2" s="1" t="s">
        <v>187</v>
      </c>
      <c r="R2" s="1" t="s">
        <v>23</v>
      </c>
      <c r="S2" s="1" t="s">
        <v>24</v>
      </c>
      <c r="T2" s="1" t="s">
        <v>25</v>
      </c>
      <c r="U2" s="1" t="s">
        <v>26</v>
      </c>
      <c r="V2" s="1" t="s">
        <v>27</v>
      </c>
    </row>
    <row r="3" spans="2:22">
      <c r="T3" s="216"/>
    </row>
    <row r="4" spans="2:22">
      <c r="B4" s="1" t="s">
        <v>439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100000</v>
      </c>
      <c r="I4" s="1">
        <v>100000</v>
      </c>
      <c r="J4" s="1">
        <v>2134000</v>
      </c>
      <c r="K4" s="1">
        <v>2448000</v>
      </c>
      <c r="L4" s="1">
        <v>3644800</v>
      </c>
      <c r="M4" s="1">
        <v>4500000</v>
      </c>
      <c r="N4" s="1">
        <v>5950000</v>
      </c>
      <c r="O4" s="1">
        <v>2656000</v>
      </c>
      <c r="P4" s="1">
        <v>5923000</v>
      </c>
      <c r="Q4" s="1">
        <v>10200000</v>
      </c>
      <c r="R4" s="1">
        <v>20545000</v>
      </c>
      <c r="S4" s="1">
        <v>25466750</v>
      </c>
      <c r="T4" s="1">
        <v>32819000</v>
      </c>
      <c r="U4" s="4">
        <v>31609797</v>
      </c>
      <c r="V4" s="4">
        <v>41500000</v>
      </c>
    </row>
    <row r="5" spans="2:22">
      <c r="B5" s="1" t="s">
        <v>440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3270000</v>
      </c>
      <c r="I5" s="1">
        <v>4190000</v>
      </c>
      <c r="J5" s="1">
        <v>7330000</v>
      </c>
      <c r="K5" s="1">
        <v>4690000</v>
      </c>
      <c r="L5" s="1">
        <v>9250000</v>
      </c>
      <c r="M5" s="1">
        <v>11120000</v>
      </c>
      <c r="N5" s="1">
        <v>15434000</v>
      </c>
      <c r="O5" s="1">
        <v>11798000</v>
      </c>
      <c r="P5" s="1">
        <v>17042000</v>
      </c>
      <c r="Q5" s="1">
        <v>14030000</v>
      </c>
      <c r="R5" s="1">
        <v>22900000</v>
      </c>
      <c r="S5" s="1">
        <v>19477000</v>
      </c>
      <c r="T5" s="1">
        <v>14617000</v>
      </c>
      <c r="U5" s="4">
        <v>14100000</v>
      </c>
      <c r="V5" s="4">
        <v>26000000</v>
      </c>
    </row>
    <row r="6" spans="2:22">
      <c r="B6" s="1" t="s">
        <v>441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4750000</v>
      </c>
      <c r="O6" s="1">
        <v>1185000</v>
      </c>
      <c r="P6" s="1">
        <v>1027000</v>
      </c>
      <c r="Q6" s="1">
        <v>2100000</v>
      </c>
      <c r="R6" s="1">
        <v>6000000</v>
      </c>
      <c r="S6" s="1">
        <v>1800000</v>
      </c>
      <c r="T6" s="1">
        <v>1550000</v>
      </c>
      <c r="U6" s="4">
        <v>2500000</v>
      </c>
      <c r="V6" s="4">
        <v>5800000</v>
      </c>
    </row>
    <row r="7" spans="2:22">
      <c r="B7" s="1" t="s">
        <v>442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2025000</v>
      </c>
      <c r="O7" s="1">
        <v>592500</v>
      </c>
      <c r="P7" s="1">
        <v>350000</v>
      </c>
      <c r="Q7" s="1">
        <v>365676.72833495616</v>
      </c>
      <c r="R7" s="1">
        <v>1000000</v>
      </c>
      <c r="S7" s="1">
        <v>533250</v>
      </c>
      <c r="T7" s="1">
        <v>231000</v>
      </c>
      <c r="U7" s="4">
        <v>200000</v>
      </c>
      <c r="V7" s="4">
        <v>45000</v>
      </c>
    </row>
    <row r="8" spans="2:22">
      <c r="B8" s="1" t="s">
        <v>443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500000</v>
      </c>
      <c r="M8" s="1">
        <v>200000</v>
      </c>
      <c r="N8" s="1">
        <v>150000</v>
      </c>
      <c r="O8" s="1">
        <v>500000</v>
      </c>
      <c r="P8" s="1">
        <v>260000</v>
      </c>
      <c r="Q8" s="1">
        <v>150000</v>
      </c>
      <c r="R8" s="1">
        <v>255000</v>
      </c>
      <c r="S8" s="1">
        <v>370000</v>
      </c>
      <c r="T8" s="1">
        <v>100000</v>
      </c>
      <c r="U8" s="4">
        <v>40041</v>
      </c>
      <c r="V8" s="4">
        <v>175000</v>
      </c>
    </row>
    <row r="9" spans="2:22">
      <c r="B9" s="1" t="s">
        <v>444</v>
      </c>
      <c r="Q9" s="1">
        <v>400000</v>
      </c>
      <c r="R9" s="1">
        <v>1800000</v>
      </c>
      <c r="S9" s="1">
        <v>1800000</v>
      </c>
      <c r="T9" s="1">
        <v>2300000</v>
      </c>
      <c r="U9" s="4">
        <v>1630869</v>
      </c>
      <c r="V9" s="4">
        <v>3300000</v>
      </c>
    </row>
    <row r="10" spans="2:22">
      <c r="B10" s="1" t="s">
        <v>349</v>
      </c>
      <c r="C10" s="1">
        <v>575300</v>
      </c>
      <c r="D10" s="1">
        <v>755900</v>
      </c>
      <c r="E10" s="1">
        <v>1424500</v>
      </c>
      <c r="F10" s="1">
        <v>4042700</v>
      </c>
      <c r="G10" s="1">
        <v>5226600</v>
      </c>
      <c r="H10" s="1">
        <v>10652700</v>
      </c>
      <c r="I10" s="1">
        <v>20544000</v>
      </c>
      <c r="J10" s="1">
        <v>30845200</v>
      </c>
      <c r="K10" s="1">
        <v>36267800</v>
      </c>
      <c r="L10" s="1">
        <v>46775900</v>
      </c>
      <c r="M10" s="1">
        <v>60490400</v>
      </c>
      <c r="N10" s="1">
        <v>76906100</v>
      </c>
      <c r="O10" s="1">
        <v>81067400</v>
      </c>
      <c r="P10" s="1">
        <v>98529300</v>
      </c>
      <c r="Q10" s="1">
        <v>122480000</v>
      </c>
      <c r="R10" s="1">
        <v>144720300</v>
      </c>
      <c r="S10" s="1">
        <v>156186000</v>
      </c>
      <c r="T10" s="1">
        <v>182649100</v>
      </c>
      <c r="U10" s="2">
        <v>208000000</v>
      </c>
      <c r="V10" s="2">
        <v>226900000</v>
      </c>
    </row>
    <row r="11" spans="2:22">
      <c r="B11" s="1" t="s">
        <v>445</v>
      </c>
      <c r="C11" s="1">
        <v>3848100</v>
      </c>
      <c r="D11" s="1">
        <v>5325000</v>
      </c>
      <c r="E11" s="1">
        <v>7400000</v>
      </c>
      <c r="F11" s="1">
        <v>8700000</v>
      </c>
      <c r="G11" s="1">
        <v>8750000</v>
      </c>
      <c r="H11" s="1">
        <v>8400000</v>
      </c>
      <c r="I11" s="1">
        <v>14100000</v>
      </c>
      <c r="J11" s="1">
        <v>16240000</v>
      </c>
      <c r="K11" s="1">
        <v>18650000</v>
      </c>
      <c r="L11" s="1">
        <v>20340000</v>
      </c>
      <c r="M11" s="1">
        <v>17295300</v>
      </c>
      <c r="N11" s="1">
        <v>37044000</v>
      </c>
      <c r="O11" s="1">
        <v>35064000</v>
      </c>
      <c r="P11" s="1">
        <v>28935000</v>
      </c>
      <c r="Q11" s="1">
        <v>26910000</v>
      </c>
      <c r="R11" s="1">
        <v>43457400</v>
      </c>
      <c r="S11" s="1">
        <v>38331800</v>
      </c>
      <c r="T11" s="1">
        <v>31549850</v>
      </c>
      <c r="U11" s="2">
        <v>33800000</v>
      </c>
      <c r="V11" s="2">
        <v>51000000</v>
      </c>
    </row>
    <row r="12" spans="2:22">
      <c r="B12" s="1" t="s">
        <v>29</v>
      </c>
      <c r="C12" s="1">
        <v>7533600</v>
      </c>
      <c r="D12" s="1">
        <v>7782200</v>
      </c>
      <c r="E12" s="1">
        <v>8300000</v>
      </c>
      <c r="F12" s="1">
        <v>10100000</v>
      </c>
      <c r="G12" s="1">
        <v>10500000</v>
      </c>
      <c r="H12" s="1">
        <v>11200000</v>
      </c>
      <c r="I12" s="1">
        <v>12100000</v>
      </c>
      <c r="J12" s="1">
        <v>14200000</v>
      </c>
      <c r="K12" s="1">
        <v>13500000</v>
      </c>
      <c r="L12" s="1">
        <v>13200000</v>
      </c>
      <c r="M12" s="1">
        <v>12701100</v>
      </c>
      <c r="N12" s="1">
        <v>14100000</v>
      </c>
      <c r="O12" s="1">
        <v>11100000</v>
      </c>
      <c r="P12" s="1">
        <v>7991200</v>
      </c>
      <c r="Q12" s="1">
        <v>8946800</v>
      </c>
      <c r="R12" s="1">
        <v>7333000</v>
      </c>
      <c r="S12" s="1">
        <v>6218600</v>
      </c>
      <c r="T12" s="1">
        <v>6490000</v>
      </c>
      <c r="U12" s="2">
        <v>3500000</v>
      </c>
      <c r="V12" s="2">
        <v>1700000</v>
      </c>
    </row>
    <row r="13" spans="2:22">
      <c r="B13" s="1" t="s">
        <v>446</v>
      </c>
      <c r="C13" s="1">
        <v>3738700</v>
      </c>
      <c r="D13" s="1">
        <v>3829700</v>
      </c>
      <c r="E13" s="1">
        <v>3259900</v>
      </c>
      <c r="F13" s="1">
        <v>4202700</v>
      </c>
      <c r="G13" s="1">
        <v>3696200</v>
      </c>
      <c r="H13" s="1">
        <v>3058800</v>
      </c>
      <c r="I13" s="1">
        <v>2203900</v>
      </c>
      <c r="J13" s="1">
        <v>3375300</v>
      </c>
      <c r="K13" s="1">
        <v>3658700</v>
      </c>
      <c r="L13" s="1">
        <v>1723800</v>
      </c>
      <c r="M13" s="1">
        <v>1701900</v>
      </c>
      <c r="N13" s="1">
        <v>2759000</v>
      </c>
      <c r="O13" s="1">
        <v>2712500</v>
      </c>
      <c r="P13" s="1">
        <v>4087000</v>
      </c>
      <c r="Q13" s="1">
        <v>4058200</v>
      </c>
      <c r="R13" s="1">
        <v>6185500</v>
      </c>
      <c r="S13" s="1">
        <v>5989200</v>
      </c>
      <c r="T13" s="1">
        <v>8053800</v>
      </c>
      <c r="U13" s="2">
        <v>9850000</v>
      </c>
      <c r="V13" s="2">
        <v>9100000</v>
      </c>
    </row>
    <row r="14" spans="2:22">
      <c r="B14" s="1" t="s">
        <v>447</v>
      </c>
      <c r="C14" s="142">
        <v>66219000</v>
      </c>
      <c r="D14" s="142">
        <v>68631500</v>
      </c>
      <c r="E14" s="142">
        <v>82052025</v>
      </c>
      <c r="F14" s="45">
        <v>90150099.500000015</v>
      </c>
      <c r="G14" s="45">
        <v>84190258.5</v>
      </c>
      <c r="H14" s="142">
        <v>82800441</v>
      </c>
      <c r="I14" s="142">
        <v>88815774</v>
      </c>
      <c r="J14" s="45">
        <v>93155787.499999985</v>
      </c>
      <c r="K14" s="45">
        <v>86210593.499999985</v>
      </c>
      <c r="L14" s="45">
        <v>87191058.5</v>
      </c>
      <c r="M14" s="45">
        <v>93659650.499999985</v>
      </c>
      <c r="N14" s="45">
        <v>95465141.5</v>
      </c>
      <c r="O14" s="45">
        <v>88045490.5</v>
      </c>
      <c r="P14" s="45">
        <v>87099636.5</v>
      </c>
      <c r="Q14" s="142">
        <v>87650025</v>
      </c>
      <c r="R14" s="142">
        <v>90080970.999999985</v>
      </c>
      <c r="S14" s="142">
        <v>77751005</v>
      </c>
      <c r="T14" s="45">
        <v>75861493.5</v>
      </c>
      <c r="U14" s="2">
        <v>80944000</v>
      </c>
      <c r="V14" s="2">
        <v>80500000</v>
      </c>
    </row>
    <row r="15" spans="2:22">
      <c r="B15" s="1" t="s">
        <v>448</v>
      </c>
      <c r="C15" s="1">
        <v>2289000</v>
      </c>
      <c r="D15" s="1">
        <v>2496000</v>
      </c>
      <c r="E15" s="1">
        <v>2611000</v>
      </c>
      <c r="F15" s="1">
        <v>2524000</v>
      </c>
      <c r="G15" s="1">
        <v>2216000</v>
      </c>
      <c r="H15" s="1">
        <v>2603000</v>
      </c>
      <c r="I15" s="1">
        <v>3053000</v>
      </c>
      <c r="J15" s="1">
        <v>3362000</v>
      </c>
      <c r="K15" s="1">
        <v>2943000</v>
      </c>
      <c r="L15" s="1">
        <v>3472000</v>
      </c>
      <c r="M15" s="1">
        <v>3885000</v>
      </c>
      <c r="N15" s="1">
        <v>4134000</v>
      </c>
      <c r="O15" s="1">
        <v>3760000</v>
      </c>
      <c r="P15" s="1">
        <v>3947000</v>
      </c>
      <c r="Q15" s="1">
        <v>4894000</v>
      </c>
      <c r="R15" s="1">
        <v>5200000</v>
      </c>
      <c r="S15" s="142">
        <v>4061000</v>
      </c>
      <c r="T15" s="217">
        <v>3950000</v>
      </c>
      <c r="U15" s="2">
        <v>3800000</v>
      </c>
      <c r="V15" s="2">
        <v>4600000</v>
      </c>
    </row>
    <row r="20" spans="2:22">
      <c r="T20" s="216"/>
    </row>
    <row r="21" spans="2:22">
      <c r="B21" s="1" t="s">
        <v>349</v>
      </c>
      <c r="C21" s="1">
        <f t="shared" ref="C21:V21" si="0">C4+C10</f>
        <v>575300</v>
      </c>
      <c r="D21" s="1">
        <f t="shared" si="0"/>
        <v>755900</v>
      </c>
      <c r="E21" s="1">
        <f t="shared" si="0"/>
        <v>1424500</v>
      </c>
      <c r="F21" s="1">
        <f t="shared" si="0"/>
        <v>4042700</v>
      </c>
      <c r="G21" s="1">
        <f t="shared" si="0"/>
        <v>5226600</v>
      </c>
      <c r="H21" s="1">
        <f t="shared" si="0"/>
        <v>10752700</v>
      </c>
      <c r="I21" s="1">
        <f t="shared" si="0"/>
        <v>20644000</v>
      </c>
      <c r="J21" s="1">
        <f t="shared" si="0"/>
        <v>32979200</v>
      </c>
      <c r="K21" s="1">
        <f t="shared" si="0"/>
        <v>38715800</v>
      </c>
      <c r="L21" s="1">
        <f t="shared" si="0"/>
        <v>50420700</v>
      </c>
      <c r="M21" s="1">
        <f t="shared" si="0"/>
        <v>64990400</v>
      </c>
      <c r="N21" s="1">
        <f t="shared" si="0"/>
        <v>82856100</v>
      </c>
      <c r="O21" s="1">
        <f t="shared" si="0"/>
        <v>83723400</v>
      </c>
      <c r="P21" s="1">
        <f t="shared" si="0"/>
        <v>104452300</v>
      </c>
      <c r="Q21" s="1">
        <f t="shared" si="0"/>
        <v>132680000</v>
      </c>
      <c r="R21" s="1">
        <f t="shared" si="0"/>
        <v>165265300</v>
      </c>
      <c r="S21" s="1">
        <f t="shared" si="0"/>
        <v>181652750</v>
      </c>
      <c r="T21" s="1">
        <f t="shared" si="0"/>
        <v>215468100</v>
      </c>
      <c r="U21" s="1">
        <f t="shared" si="0"/>
        <v>239609797</v>
      </c>
      <c r="V21" s="1">
        <f t="shared" si="0"/>
        <v>268400000</v>
      </c>
    </row>
    <row r="22" spans="2:22">
      <c r="B22" s="1" t="s">
        <v>49</v>
      </c>
      <c r="C22" s="1">
        <f t="shared" ref="C22:V22" si="1">C5+C11+C15</f>
        <v>6137100</v>
      </c>
      <c r="D22" s="1">
        <f t="shared" si="1"/>
        <v>7821000</v>
      </c>
      <c r="E22" s="1">
        <f t="shared" si="1"/>
        <v>10011000</v>
      </c>
      <c r="F22" s="1">
        <f t="shared" si="1"/>
        <v>11224000</v>
      </c>
      <c r="G22" s="1">
        <f t="shared" si="1"/>
        <v>10966000</v>
      </c>
      <c r="H22" s="1">
        <f t="shared" si="1"/>
        <v>14273000</v>
      </c>
      <c r="I22" s="1">
        <f t="shared" si="1"/>
        <v>21343000</v>
      </c>
      <c r="J22" s="1">
        <f t="shared" si="1"/>
        <v>26932000</v>
      </c>
      <c r="K22" s="1">
        <f t="shared" si="1"/>
        <v>26283000</v>
      </c>
      <c r="L22" s="1">
        <f t="shared" si="1"/>
        <v>33062000</v>
      </c>
      <c r="M22" s="1">
        <f t="shared" si="1"/>
        <v>32300300</v>
      </c>
      <c r="N22" s="1">
        <f t="shared" si="1"/>
        <v>56612000</v>
      </c>
      <c r="O22" s="1">
        <f t="shared" si="1"/>
        <v>50622000</v>
      </c>
      <c r="P22" s="1">
        <f t="shared" si="1"/>
        <v>49924000</v>
      </c>
      <c r="Q22" s="1">
        <f t="shared" si="1"/>
        <v>45834000</v>
      </c>
      <c r="R22" s="1">
        <f t="shared" si="1"/>
        <v>71557400</v>
      </c>
      <c r="S22" s="1">
        <f t="shared" si="1"/>
        <v>61869800</v>
      </c>
      <c r="T22" s="1">
        <f t="shared" si="1"/>
        <v>50116850</v>
      </c>
      <c r="U22" s="1">
        <f t="shared" si="1"/>
        <v>51700000</v>
      </c>
      <c r="V22" s="1">
        <f t="shared" si="1"/>
        <v>81600000</v>
      </c>
    </row>
    <row r="23" spans="2:22">
      <c r="B23" s="1" t="s">
        <v>29</v>
      </c>
      <c r="C23" s="1">
        <f t="shared" ref="C23:V23" si="2">C12+C8</f>
        <v>7533600</v>
      </c>
      <c r="D23" s="1">
        <f t="shared" si="2"/>
        <v>7782200</v>
      </c>
      <c r="E23" s="1">
        <f t="shared" si="2"/>
        <v>8300000</v>
      </c>
      <c r="F23" s="1">
        <f t="shared" si="2"/>
        <v>10100000</v>
      </c>
      <c r="G23" s="1">
        <f t="shared" si="2"/>
        <v>10500000</v>
      </c>
      <c r="H23" s="1">
        <f t="shared" si="2"/>
        <v>11200000</v>
      </c>
      <c r="I23" s="1">
        <f t="shared" si="2"/>
        <v>12100000</v>
      </c>
      <c r="J23" s="1">
        <f t="shared" si="2"/>
        <v>14200000</v>
      </c>
      <c r="K23" s="1">
        <f t="shared" si="2"/>
        <v>13500000</v>
      </c>
      <c r="L23" s="1">
        <f t="shared" si="2"/>
        <v>13700000</v>
      </c>
      <c r="M23" s="1">
        <f t="shared" si="2"/>
        <v>12901100</v>
      </c>
      <c r="N23" s="1">
        <f t="shared" si="2"/>
        <v>14250000</v>
      </c>
      <c r="O23" s="1">
        <f t="shared" si="2"/>
        <v>11600000</v>
      </c>
      <c r="P23" s="1">
        <f t="shared" si="2"/>
        <v>8251200</v>
      </c>
      <c r="Q23" s="1">
        <f t="shared" si="2"/>
        <v>9096800</v>
      </c>
      <c r="R23" s="1">
        <f t="shared" si="2"/>
        <v>7588000</v>
      </c>
      <c r="S23" s="1">
        <f t="shared" si="2"/>
        <v>6588600</v>
      </c>
      <c r="T23" s="1">
        <f t="shared" si="2"/>
        <v>6590000</v>
      </c>
      <c r="U23" s="1">
        <f t="shared" si="2"/>
        <v>3540041</v>
      </c>
      <c r="V23" s="1">
        <f t="shared" si="2"/>
        <v>1875000</v>
      </c>
    </row>
    <row r="24" spans="2:22">
      <c r="B24" s="1" t="s">
        <v>426</v>
      </c>
      <c r="C24" s="1">
        <f t="shared" ref="C24:V24" si="3">C13+C9+C14</f>
        <v>69957700</v>
      </c>
      <c r="D24" s="1">
        <f t="shared" si="3"/>
        <v>72461200</v>
      </c>
      <c r="E24" s="1">
        <f t="shared" si="3"/>
        <v>85311925</v>
      </c>
      <c r="F24" s="1">
        <f t="shared" si="3"/>
        <v>94352799.500000015</v>
      </c>
      <c r="G24" s="1">
        <f t="shared" si="3"/>
        <v>87886458.5</v>
      </c>
      <c r="H24" s="1">
        <f t="shared" si="3"/>
        <v>85859241</v>
      </c>
      <c r="I24" s="1">
        <f t="shared" si="3"/>
        <v>91019674</v>
      </c>
      <c r="J24" s="1">
        <f t="shared" si="3"/>
        <v>96531087.499999985</v>
      </c>
      <c r="K24" s="1">
        <f t="shared" si="3"/>
        <v>89869293.499999985</v>
      </c>
      <c r="L24" s="1">
        <f t="shared" si="3"/>
        <v>88914858.5</v>
      </c>
      <c r="M24" s="1">
        <f t="shared" si="3"/>
        <v>95361550.499999985</v>
      </c>
      <c r="N24" s="1">
        <f t="shared" si="3"/>
        <v>98224141.5</v>
      </c>
      <c r="O24" s="1">
        <f t="shared" si="3"/>
        <v>90757990.5</v>
      </c>
      <c r="P24" s="1">
        <f t="shared" si="3"/>
        <v>91186636.5</v>
      </c>
      <c r="Q24" s="1">
        <f t="shared" si="3"/>
        <v>92108225</v>
      </c>
      <c r="R24" s="1">
        <f t="shared" si="3"/>
        <v>98066470.999999985</v>
      </c>
      <c r="S24" s="1">
        <f t="shared" si="3"/>
        <v>85540205</v>
      </c>
      <c r="T24" s="1">
        <f t="shared" si="3"/>
        <v>86215293.5</v>
      </c>
      <c r="U24" s="1">
        <f t="shared" si="3"/>
        <v>92424869</v>
      </c>
      <c r="V24" s="1">
        <f t="shared" si="3"/>
        <v>92900000</v>
      </c>
    </row>
    <row r="25" spans="2:22">
      <c r="B25" s="1" t="s">
        <v>449</v>
      </c>
      <c r="C25" s="1">
        <f t="shared" ref="C25:V26" si="4">C6</f>
        <v>0</v>
      </c>
      <c r="D25" s="1">
        <f t="shared" si="4"/>
        <v>0</v>
      </c>
      <c r="E25" s="1">
        <f t="shared" si="4"/>
        <v>0</v>
      </c>
      <c r="F25" s="1">
        <f t="shared" si="4"/>
        <v>0</v>
      </c>
      <c r="G25" s="1">
        <f t="shared" si="4"/>
        <v>0</v>
      </c>
      <c r="H25" s="1">
        <f t="shared" si="4"/>
        <v>0</v>
      </c>
      <c r="I25" s="1">
        <f t="shared" si="4"/>
        <v>0</v>
      </c>
      <c r="J25" s="1">
        <f t="shared" si="4"/>
        <v>0</v>
      </c>
      <c r="K25" s="1">
        <f t="shared" si="4"/>
        <v>0</v>
      </c>
      <c r="L25" s="1">
        <f t="shared" si="4"/>
        <v>0</v>
      </c>
      <c r="M25" s="1">
        <f t="shared" si="4"/>
        <v>0</v>
      </c>
      <c r="N25" s="1">
        <f t="shared" si="4"/>
        <v>4750000</v>
      </c>
      <c r="O25" s="1">
        <f t="shared" si="4"/>
        <v>1185000</v>
      </c>
      <c r="P25" s="1">
        <f t="shared" si="4"/>
        <v>1027000</v>
      </c>
      <c r="Q25" s="1">
        <f t="shared" si="4"/>
        <v>2100000</v>
      </c>
      <c r="R25" s="1">
        <f t="shared" si="4"/>
        <v>6000000</v>
      </c>
      <c r="S25" s="1">
        <f t="shared" si="4"/>
        <v>1800000</v>
      </c>
      <c r="T25" s="1">
        <f t="shared" si="4"/>
        <v>1550000</v>
      </c>
      <c r="U25" s="1">
        <f t="shared" si="4"/>
        <v>2500000</v>
      </c>
      <c r="V25" s="1">
        <f t="shared" si="4"/>
        <v>5800000</v>
      </c>
    </row>
    <row r="26" spans="2:22">
      <c r="B26" s="1" t="s">
        <v>442</v>
      </c>
      <c r="C26" s="1">
        <f t="shared" si="4"/>
        <v>0</v>
      </c>
      <c r="D26" s="1">
        <f t="shared" si="4"/>
        <v>0</v>
      </c>
      <c r="E26" s="1">
        <f t="shared" si="4"/>
        <v>0</v>
      </c>
      <c r="F26" s="1">
        <f t="shared" si="4"/>
        <v>0</v>
      </c>
      <c r="G26" s="1">
        <f t="shared" si="4"/>
        <v>0</v>
      </c>
      <c r="H26" s="1">
        <f t="shared" si="4"/>
        <v>0</v>
      </c>
      <c r="I26" s="1">
        <f t="shared" si="4"/>
        <v>0</v>
      </c>
      <c r="J26" s="1">
        <f t="shared" si="4"/>
        <v>0</v>
      </c>
      <c r="K26" s="1">
        <f t="shared" si="4"/>
        <v>0</v>
      </c>
      <c r="L26" s="1">
        <f t="shared" si="4"/>
        <v>0</v>
      </c>
      <c r="M26" s="1">
        <f t="shared" si="4"/>
        <v>0</v>
      </c>
      <c r="N26" s="1">
        <f t="shared" si="4"/>
        <v>2025000</v>
      </c>
      <c r="O26" s="1">
        <f t="shared" si="4"/>
        <v>592500</v>
      </c>
      <c r="P26" s="1">
        <f t="shared" si="4"/>
        <v>350000</v>
      </c>
      <c r="Q26" s="1">
        <f t="shared" si="4"/>
        <v>365676.72833495616</v>
      </c>
      <c r="R26" s="1">
        <f t="shared" si="4"/>
        <v>1000000</v>
      </c>
      <c r="S26" s="1">
        <f t="shared" si="4"/>
        <v>533250</v>
      </c>
      <c r="T26" s="1">
        <f t="shared" si="4"/>
        <v>231000</v>
      </c>
      <c r="U26" s="1">
        <f t="shared" si="4"/>
        <v>200000</v>
      </c>
      <c r="V26" s="1">
        <f t="shared" si="4"/>
        <v>45000</v>
      </c>
    </row>
    <row r="27" spans="2:22">
      <c r="B27" s="1" t="s">
        <v>450</v>
      </c>
      <c r="C27" s="1">
        <v>17825300</v>
      </c>
      <c r="D27" s="1">
        <v>20880800</v>
      </c>
      <c r="E27" s="1">
        <v>18314800</v>
      </c>
      <c r="F27" s="1">
        <v>23857100</v>
      </c>
      <c r="G27" s="1">
        <v>24067700</v>
      </c>
      <c r="H27" s="1">
        <v>25963800</v>
      </c>
      <c r="I27" s="1">
        <v>30400700</v>
      </c>
      <c r="J27" s="1">
        <v>34668900</v>
      </c>
      <c r="K27" s="1">
        <v>29460700</v>
      </c>
      <c r="L27" s="1">
        <v>25909000</v>
      </c>
      <c r="M27" s="1">
        <v>21978600</v>
      </c>
      <c r="N27" s="1">
        <v>20596700</v>
      </c>
      <c r="O27" s="1">
        <v>16309100</v>
      </c>
      <c r="P27" s="1">
        <f>4208800+9071500</f>
        <v>13280300</v>
      </c>
      <c r="Q27" s="1">
        <f>5054700+4404900+683700</f>
        <v>10143300</v>
      </c>
      <c r="R27" s="1">
        <f>2684000+2569000+713100</f>
        <v>5966100</v>
      </c>
      <c r="S27" s="1">
        <v>3150692</v>
      </c>
      <c r="T27" s="1">
        <v>2027936</v>
      </c>
      <c r="U27" s="1">
        <v>2027937</v>
      </c>
      <c r="V27" s="1">
        <v>1250000</v>
      </c>
    </row>
    <row r="28" spans="2:22">
      <c r="B28" s="1" t="s">
        <v>451</v>
      </c>
      <c r="C28" s="217">
        <f t="shared" ref="C28:V28" si="5">SUM(C21:C27)</f>
        <v>102029000</v>
      </c>
      <c r="D28" s="217">
        <f t="shared" si="5"/>
        <v>109701100</v>
      </c>
      <c r="E28" s="217">
        <f t="shared" si="5"/>
        <v>123362225</v>
      </c>
      <c r="F28" s="217">
        <f t="shared" si="5"/>
        <v>143576599.5</v>
      </c>
      <c r="G28" s="217">
        <f t="shared" si="5"/>
        <v>138646758.5</v>
      </c>
      <c r="H28" s="217">
        <f t="shared" si="5"/>
        <v>148048741</v>
      </c>
      <c r="I28" s="217">
        <f t="shared" si="5"/>
        <v>175507374</v>
      </c>
      <c r="J28" s="217">
        <f t="shared" si="5"/>
        <v>205311187.5</v>
      </c>
      <c r="K28" s="217">
        <f t="shared" si="5"/>
        <v>197828793.5</v>
      </c>
      <c r="L28" s="217">
        <f t="shared" si="5"/>
        <v>212006558.5</v>
      </c>
      <c r="M28" s="217">
        <f t="shared" si="5"/>
        <v>227531950.5</v>
      </c>
      <c r="N28" s="217">
        <f t="shared" si="5"/>
        <v>279313941.5</v>
      </c>
      <c r="O28" s="217">
        <f t="shared" si="5"/>
        <v>254789990.5</v>
      </c>
      <c r="P28" s="217">
        <f t="shared" si="5"/>
        <v>268471436.5</v>
      </c>
      <c r="Q28" s="217">
        <f t="shared" si="5"/>
        <v>292328001.72833496</v>
      </c>
      <c r="R28" s="217">
        <f t="shared" si="5"/>
        <v>355443271</v>
      </c>
      <c r="S28" s="217">
        <f t="shared" si="5"/>
        <v>341135297</v>
      </c>
      <c r="T28" s="217">
        <f t="shared" si="5"/>
        <v>362199179.5</v>
      </c>
      <c r="U28" s="217">
        <f t="shared" si="5"/>
        <v>392002644</v>
      </c>
      <c r="V28" s="217">
        <f t="shared" si="5"/>
        <v>451870000</v>
      </c>
    </row>
    <row r="32" spans="2:22">
      <c r="C32" s="1" t="s">
        <v>8</v>
      </c>
      <c r="D32" s="1" t="s">
        <v>9</v>
      </c>
      <c r="E32" s="1" t="s">
        <v>10</v>
      </c>
      <c r="F32" s="1" t="s">
        <v>11</v>
      </c>
      <c r="G32" s="1" t="s">
        <v>12</v>
      </c>
      <c r="H32" s="1" t="s">
        <v>13</v>
      </c>
      <c r="I32" s="1" t="s">
        <v>14</v>
      </c>
      <c r="J32" s="1" t="s">
        <v>15</v>
      </c>
      <c r="K32" s="1" t="s">
        <v>16</v>
      </c>
      <c r="L32" s="1" t="s">
        <v>17</v>
      </c>
      <c r="M32" s="1" t="s">
        <v>18</v>
      </c>
      <c r="N32" s="1" t="s">
        <v>19</v>
      </c>
      <c r="O32" s="1" t="s">
        <v>20</v>
      </c>
      <c r="P32" s="1" t="s">
        <v>21</v>
      </c>
      <c r="Q32" s="1" t="s">
        <v>187</v>
      </c>
      <c r="R32" s="1" t="s">
        <v>23</v>
      </c>
      <c r="S32" s="1" t="s">
        <v>24</v>
      </c>
      <c r="T32" s="1" t="s">
        <v>25</v>
      </c>
      <c r="U32" s="1" t="s">
        <v>26</v>
      </c>
      <c r="V32" s="1" t="s">
        <v>27</v>
      </c>
    </row>
    <row r="33" spans="2:23" s="216" customFormat="1">
      <c r="B33" s="216" t="s">
        <v>349</v>
      </c>
      <c r="C33" s="216">
        <f t="shared" ref="C33:V36" si="6">C21/C$28</f>
        <v>5.6385929490635018E-3</v>
      </c>
      <c r="D33" s="216">
        <f t="shared" si="6"/>
        <v>6.8905416627545214E-3</v>
      </c>
      <c r="E33" s="216">
        <f t="shared" si="6"/>
        <v>1.1547294968131451E-2</v>
      </c>
      <c r="F33" s="216">
        <f t="shared" si="6"/>
        <v>2.8157095335023589E-2</v>
      </c>
      <c r="G33" s="216">
        <f t="shared" si="6"/>
        <v>3.7697239059505311E-2</v>
      </c>
      <c r="H33" s="216">
        <f t="shared" si="6"/>
        <v>7.2629459240048516E-2</v>
      </c>
      <c r="I33" s="216">
        <f t="shared" si="6"/>
        <v>0.11762468738208116</v>
      </c>
      <c r="J33" s="216">
        <f t="shared" si="6"/>
        <v>0.16063031148753157</v>
      </c>
      <c r="K33" s="216">
        <f t="shared" si="6"/>
        <v>0.19570356425390625</v>
      </c>
      <c r="L33" s="216">
        <f t="shared" si="6"/>
        <v>0.2378261331005003</v>
      </c>
      <c r="M33" s="216">
        <f t="shared" si="6"/>
        <v>0.28563197325555384</v>
      </c>
      <c r="N33" s="216">
        <f t="shared" si="6"/>
        <v>0.29664147645132849</v>
      </c>
      <c r="O33" s="216">
        <f t="shared" si="6"/>
        <v>0.3285976809202793</v>
      </c>
      <c r="P33" s="216">
        <f t="shared" si="6"/>
        <v>0.38906299069174904</v>
      </c>
      <c r="Q33" s="216">
        <f t="shared" si="6"/>
        <v>0.45387372819420024</v>
      </c>
      <c r="R33" s="216">
        <f t="shared" si="6"/>
        <v>0.4649554893388318</v>
      </c>
      <c r="S33" s="216">
        <f t="shared" si="6"/>
        <v>0.53249473624536714</v>
      </c>
      <c r="T33" s="218">
        <f t="shared" si="6"/>
        <v>0.5948884265763501</v>
      </c>
      <c r="U33" s="218">
        <f t="shared" si="6"/>
        <v>0.61124535935528024</v>
      </c>
      <c r="V33" s="218">
        <f t="shared" si="6"/>
        <v>0.5939761435811185</v>
      </c>
      <c r="W33" s="216" t="s">
        <v>349</v>
      </c>
    </row>
    <row r="34" spans="2:23" s="216" customFormat="1">
      <c r="B34" s="216" t="s">
        <v>452</v>
      </c>
      <c r="C34" s="216">
        <f t="shared" si="6"/>
        <v>6.0150545433161159E-2</v>
      </c>
      <c r="D34" s="216">
        <f t="shared" si="6"/>
        <v>7.1293724493191046E-2</v>
      </c>
      <c r="E34" s="216">
        <f t="shared" si="6"/>
        <v>8.1151260039286743E-2</v>
      </c>
      <c r="F34" s="216">
        <f t="shared" si="6"/>
        <v>7.817429886964275E-2</v>
      </c>
      <c r="G34" s="216">
        <f t="shared" si="6"/>
        <v>7.909308604571523E-2</v>
      </c>
      <c r="H34" s="216">
        <f t="shared" si="6"/>
        <v>9.6407439223005612E-2</v>
      </c>
      <c r="I34" s="216">
        <f t="shared" si="6"/>
        <v>0.12160742602188328</v>
      </c>
      <c r="J34" s="216">
        <f t="shared" si="6"/>
        <v>0.13117648545089633</v>
      </c>
      <c r="K34" s="216">
        <f t="shared" si="6"/>
        <v>0.13285730320141695</v>
      </c>
      <c r="L34" s="216">
        <f t="shared" si="6"/>
        <v>0.15594800573115289</v>
      </c>
      <c r="M34" s="216">
        <f t="shared" si="6"/>
        <v>0.14195940363109574</v>
      </c>
      <c r="N34" s="216">
        <f t="shared" si="6"/>
        <v>0.20268232833626745</v>
      </c>
      <c r="O34" s="216">
        <f t="shared" si="6"/>
        <v>0.19868127433365559</v>
      </c>
      <c r="P34" s="216">
        <f t="shared" si="6"/>
        <v>0.185956467663181</v>
      </c>
      <c r="Q34" s="216">
        <f t="shared" si="6"/>
        <v>0.15678963263531032</v>
      </c>
      <c r="R34" s="216">
        <f t="shared" si="6"/>
        <v>0.20131876402859233</v>
      </c>
      <c r="S34" s="216">
        <f t="shared" si="6"/>
        <v>0.18136440451660446</v>
      </c>
      <c r="T34" s="216">
        <f t="shared" si="6"/>
        <v>0.13836820411681799</v>
      </c>
      <c r="U34" s="216">
        <f t="shared" si="6"/>
        <v>0.13188686553859061</v>
      </c>
      <c r="V34" s="216">
        <f t="shared" si="6"/>
        <v>0.18058291101422977</v>
      </c>
      <c r="W34" s="216" t="s">
        <v>452</v>
      </c>
    </row>
    <row r="35" spans="2:23" s="216" customFormat="1">
      <c r="B35" s="216" t="s">
        <v>29</v>
      </c>
      <c r="C35" s="216">
        <f t="shared" si="6"/>
        <v>7.3837830420762723E-2</v>
      </c>
      <c r="D35" s="216">
        <f t="shared" si="6"/>
        <v>7.0940036152782424E-2</v>
      </c>
      <c r="E35" s="216">
        <f t="shared" si="6"/>
        <v>6.7281536142850859E-2</v>
      </c>
      <c r="F35" s="216">
        <f t="shared" si="6"/>
        <v>7.0345725105434048E-2</v>
      </c>
      <c r="G35" s="216">
        <f t="shared" si="6"/>
        <v>7.5732026580340145E-2</v>
      </c>
      <c r="H35" s="216">
        <f t="shared" si="6"/>
        <v>7.5650761528596858E-2</v>
      </c>
      <c r="I35" s="216">
        <f t="shared" si="6"/>
        <v>6.8942972162525776E-2</v>
      </c>
      <c r="J35" s="216">
        <f t="shared" si="6"/>
        <v>6.9163303631469178E-2</v>
      </c>
      <c r="K35" s="216">
        <f t="shared" si="6"/>
        <v>6.8240824609790682E-2</v>
      </c>
      <c r="L35" s="216">
        <f t="shared" si="6"/>
        <v>6.4620642384513774E-2</v>
      </c>
      <c r="M35" s="216">
        <f t="shared" si="6"/>
        <v>5.6700168796733452E-2</v>
      </c>
      <c r="N35" s="216">
        <f t="shared" si="6"/>
        <v>5.1017861562774873E-2</v>
      </c>
      <c r="O35" s="216">
        <f t="shared" si="6"/>
        <v>4.5527691167287047E-2</v>
      </c>
      <c r="P35" s="216">
        <f t="shared" si="6"/>
        <v>3.0733995793254528E-2</v>
      </c>
      <c r="Q35" s="216">
        <f t="shared" si="6"/>
        <v>3.1118469480230636E-2</v>
      </c>
      <c r="R35" s="216">
        <f t="shared" si="6"/>
        <v>2.1347991702450882E-2</v>
      </c>
      <c r="S35" s="216">
        <f t="shared" si="6"/>
        <v>1.9313744599111362E-2</v>
      </c>
      <c r="T35" s="216">
        <f t="shared" si="6"/>
        <v>1.819440896883644E-2</v>
      </c>
      <c r="U35" s="216">
        <f t="shared" si="6"/>
        <v>9.0306559258819686E-3</v>
      </c>
      <c r="V35" s="216">
        <f t="shared" si="6"/>
        <v>4.1494235067607941E-3</v>
      </c>
      <c r="W35" s="216" t="s">
        <v>29</v>
      </c>
    </row>
    <row r="36" spans="2:23" s="216" customFormat="1">
      <c r="B36" s="216" t="s">
        <v>426</v>
      </c>
      <c r="C36" s="216">
        <f t="shared" si="6"/>
        <v>0.68566485999078697</v>
      </c>
      <c r="D36" s="216">
        <f t="shared" si="6"/>
        <v>0.66053303020662513</v>
      </c>
      <c r="E36" s="216">
        <f t="shared" si="6"/>
        <v>0.6915563090727328</v>
      </c>
      <c r="F36" s="216">
        <f t="shared" si="6"/>
        <v>0.65716000955991449</v>
      </c>
      <c r="G36" s="216">
        <f t="shared" si="6"/>
        <v>0.6338875820165677</v>
      </c>
      <c r="H36" s="216">
        <f t="shared" si="6"/>
        <v>0.57993901481404697</v>
      </c>
      <c r="I36" s="216">
        <f t="shared" si="6"/>
        <v>0.51860883064662566</v>
      </c>
      <c r="J36" s="216">
        <f t="shared" si="6"/>
        <v>0.47016964187594495</v>
      </c>
      <c r="K36" s="216">
        <f t="shared" si="6"/>
        <v>0.45427812559550379</v>
      </c>
      <c r="L36" s="216">
        <f t="shared" si="6"/>
        <v>0.41939673531373323</v>
      </c>
      <c r="M36" s="216">
        <f t="shared" si="6"/>
        <v>0.41911278961237569</v>
      </c>
      <c r="N36" s="216">
        <f t="shared" si="6"/>
        <v>0.35166215109960774</v>
      </c>
      <c r="O36" s="216">
        <f t="shared" si="6"/>
        <v>0.35620704848685963</v>
      </c>
      <c r="P36" s="216">
        <f t="shared" si="6"/>
        <v>0.33965116620516167</v>
      </c>
      <c r="Q36" s="216">
        <f t="shared" si="6"/>
        <v>0.31508519353406872</v>
      </c>
      <c r="R36" s="216">
        <f t="shared" si="6"/>
        <v>0.27589907870277275</v>
      </c>
      <c r="S36" s="216">
        <f t="shared" si="6"/>
        <v>0.25075155151710965</v>
      </c>
      <c r="T36" s="216">
        <f t="shared" si="6"/>
        <v>0.23803282387060185</v>
      </c>
      <c r="U36" s="216">
        <f t="shared" si="6"/>
        <v>0.23577613675483269</v>
      </c>
      <c r="V36" s="216">
        <f t="shared" si="6"/>
        <v>0.20559010334830813</v>
      </c>
      <c r="W36" s="216" t="s">
        <v>426</v>
      </c>
    </row>
    <row r="37" spans="2:23" s="216" customFormat="1">
      <c r="B37" s="216" t="s">
        <v>39</v>
      </c>
      <c r="C37" s="216">
        <f t="shared" ref="C37:V37" si="7">SUM(C38:C40)</f>
        <v>0.17470817120622567</v>
      </c>
      <c r="D37" s="216">
        <f t="shared" si="7"/>
        <v>0.19034266748464693</v>
      </c>
      <c r="E37" s="216">
        <f t="shared" si="7"/>
        <v>0.14846359977699819</v>
      </c>
      <c r="F37" s="216">
        <f t="shared" si="7"/>
        <v>0.16616287112998521</v>
      </c>
      <c r="G37" s="216">
        <f t="shared" si="7"/>
        <v>0.17359006629787166</v>
      </c>
      <c r="H37" s="216">
        <f t="shared" si="7"/>
        <v>0.17537332519430207</v>
      </c>
      <c r="I37" s="216">
        <f t="shared" si="7"/>
        <v>0.17321608378688408</v>
      </c>
      <c r="J37" s="216">
        <f t="shared" si="7"/>
        <v>0.16886025755415787</v>
      </c>
      <c r="K37" s="216">
        <f t="shared" si="7"/>
        <v>0.14892018233938226</v>
      </c>
      <c r="L37" s="216">
        <f t="shared" si="7"/>
        <v>0.12220848347009981</v>
      </c>
      <c r="M37" s="216">
        <f t="shared" si="7"/>
        <v>9.6595664704241177E-2</v>
      </c>
      <c r="N37" s="216">
        <f t="shared" si="7"/>
        <v>9.7996182550021405E-2</v>
      </c>
      <c r="O37" s="216">
        <f t="shared" si="7"/>
        <v>7.0986305091918445E-2</v>
      </c>
      <c r="P37" s="216">
        <f t="shared" si="7"/>
        <v>5.4595379646653772E-2</v>
      </c>
      <c r="Q37" s="216">
        <f t="shared" si="7"/>
        <v>4.313297615619005E-2</v>
      </c>
      <c r="R37" s="216">
        <f t="shared" si="7"/>
        <v>3.647867622735218E-2</v>
      </c>
      <c r="S37" s="216">
        <f t="shared" si="7"/>
        <v>1.6075563121807357E-2</v>
      </c>
      <c r="T37" s="216">
        <f t="shared" si="7"/>
        <v>1.0516136467393626E-2</v>
      </c>
      <c r="U37" s="216">
        <f t="shared" si="7"/>
        <v>1.2060982425414457E-2</v>
      </c>
      <c r="V37" s="216">
        <f t="shared" si="7"/>
        <v>1.5701418549582843E-2</v>
      </c>
      <c r="W37" s="216" t="s">
        <v>39</v>
      </c>
    </row>
    <row r="38" spans="2:23" s="216" customFormat="1">
      <c r="B38" s="216" t="s">
        <v>449</v>
      </c>
      <c r="C38" s="216">
        <f t="shared" ref="C38:V40" si="8">C25/C$28</f>
        <v>0</v>
      </c>
      <c r="D38" s="216">
        <f t="shared" si="8"/>
        <v>0</v>
      </c>
      <c r="E38" s="216">
        <f t="shared" si="8"/>
        <v>0</v>
      </c>
      <c r="F38" s="216">
        <f t="shared" si="8"/>
        <v>0</v>
      </c>
      <c r="G38" s="216">
        <f t="shared" si="8"/>
        <v>0</v>
      </c>
      <c r="H38" s="216">
        <f t="shared" si="8"/>
        <v>0</v>
      </c>
      <c r="I38" s="216">
        <f t="shared" si="8"/>
        <v>0</v>
      </c>
      <c r="J38" s="216">
        <f t="shared" si="8"/>
        <v>0</v>
      </c>
      <c r="K38" s="216">
        <f t="shared" si="8"/>
        <v>0</v>
      </c>
      <c r="L38" s="216">
        <f t="shared" si="8"/>
        <v>0</v>
      </c>
      <c r="M38" s="216">
        <f t="shared" si="8"/>
        <v>0</v>
      </c>
      <c r="N38" s="216">
        <f t="shared" si="8"/>
        <v>1.7005953854258293E-2</v>
      </c>
      <c r="O38" s="216">
        <f t="shared" si="8"/>
        <v>4.6508891407961335E-3</v>
      </c>
      <c r="P38" s="216">
        <f t="shared" si="8"/>
        <v>3.8253603936000097E-3</v>
      </c>
      <c r="Q38" s="216">
        <f t="shared" si="8"/>
        <v>7.1837114049428741E-3</v>
      </c>
      <c r="R38" s="216">
        <f t="shared" si="8"/>
        <v>1.6880330813746083E-2</v>
      </c>
      <c r="S38" s="216">
        <f t="shared" si="8"/>
        <v>5.2764988432141046E-3</v>
      </c>
      <c r="T38" s="216">
        <f t="shared" si="8"/>
        <v>4.2794133386489354E-3</v>
      </c>
      <c r="U38" s="216">
        <f t="shared" si="8"/>
        <v>6.3775080047674369E-3</v>
      </c>
      <c r="V38" s="216">
        <f t="shared" si="8"/>
        <v>1.2835550047580056E-2</v>
      </c>
      <c r="W38" s="216" t="s">
        <v>449</v>
      </c>
    </row>
    <row r="39" spans="2:23" s="216" customFormat="1">
      <c r="B39" s="216" t="s">
        <v>442</v>
      </c>
      <c r="C39" s="216">
        <f t="shared" si="8"/>
        <v>0</v>
      </c>
      <c r="D39" s="216">
        <f t="shared" si="8"/>
        <v>0</v>
      </c>
      <c r="E39" s="216">
        <f t="shared" si="8"/>
        <v>0</v>
      </c>
      <c r="F39" s="216">
        <f t="shared" si="8"/>
        <v>0</v>
      </c>
      <c r="G39" s="216">
        <f t="shared" si="8"/>
        <v>0</v>
      </c>
      <c r="H39" s="216">
        <f t="shared" si="8"/>
        <v>0</v>
      </c>
      <c r="I39" s="216">
        <f t="shared" si="8"/>
        <v>0</v>
      </c>
      <c r="J39" s="216">
        <f t="shared" si="8"/>
        <v>0</v>
      </c>
      <c r="K39" s="216">
        <f t="shared" si="8"/>
        <v>0</v>
      </c>
      <c r="L39" s="216">
        <f t="shared" si="8"/>
        <v>0</v>
      </c>
      <c r="M39" s="216">
        <f t="shared" si="8"/>
        <v>0</v>
      </c>
      <c r="N39" s="216">
        <f t="shared" si="8"/>
        <v>7.2499066431311668E-3</v>
      </c>
      <c r="O39" s="216">
        <f t="shared" si="8"/>
        <v>2.3254445703980667E-3</v>
      </c>
      <c r="P39" s="216">
        <f t="shared" si="8"/>
        <v>1.3036768624732262E-3</v>
      </c>
      <c r="Q39" s="216">
        <f t="shared" si="8"/>
        <v>1.2509124208866769E-3</v>
      </c>
      <c r="R39" s="216">
        <f t="shared" si="8"/>
        <v>2.8133884689576808E-3</v>
      </c>
      <c r="S39" s="216">
        <f t="shared" si="8"/>
        <v>1.5631627823021784E-3</v>
      </c>
      <c r="T39" s="216">
        <f t="shared" si="8"/>
        <v>6.3777063305026072E-4</v>
      </c>
      <c r="U39" s="216">
        <f t="shared" si="8"/>
        <v>5.1020064038139498E-4</v>
      </c>
      <c r="V39" s="216">
        <f t="shared" si="8"/>
        <v>9.9586164162259055E-5</v>
      </c>
      <c r="W39" s="216" t="s">
        <v>442</v>
      </c>
    </row>
    <row r="40" spans="2:23" s="216" customFormat="1">
      <c r="B40" s="216" t="s">
        <v>450</v>
      </c>
      <c r="C40" s="216">
        <f t="shared" si="8"/>
        <v>0.17470817120622567</v>
      </c>
      <c r="D40" s="216">
        <f t="shared" si="8"/>
        <v>0.19034266748464693</v>
      </c>
      <c r="E40" s="216">
        <f t="shared" si="8"/>
        <v>0.14846359977699819</v>
      </c>
      <c r="F40" s="216">
        <f t="shared" si="8"/>
        <v>0.16616287112998521</v>
      </c>
      <c r="G40" s="216">
        <f t="shared" si="8"/>
        <v>0.17359006629787166</v>
      </c>
      <c r="H40" s="216">
        <f t="shared" si="8"/>
        <v>0.17537332519430207</v>
      </c>
      <c r="I40" s="216">
        <f t="shared" si="8"/>
        <v>0.17321608378688408</v>
      </c>
      <c r="J40" s="216">
        <f t="shared" si="8"/>
        <v>0.16886025755415787</v>
      </c>
      <c r="K40" s="216">
        <f t="shared" si="8"/>
        <v>0.14892018233938226</v>
      </c>
      <c r="L40" s="216">
        <f t="shared" si="8"/>
        <v>0.12220848347009981</v>
      </c>
      <c r="M40" s="216">
        <f t="shared" si="8"/>
        <v>9.6595664704241177E-2</v>
      </c>
      <c r="N40" s="216">
        <f t="shared" si="8"/>
        <v>7.3740322052631951E-2</v>
      </c>
      <c r="O40" s="216">
        <f t="shared" si="8"/>
        <v>6.4009971380724243E-2</v>
      </c>
      <c r="P40" s="216">
        <f t="shared" si="8"/>
        <v>4.9466342390580537E-2</v>
      </c>
      <c r="Q40" s="216">
        <f t="shared" si="8"/>
        <v>3.4698352330360498E-2</v>
      </c>
      <c r="R40" s="216">
        <f t="shared" si="8"/>
        <v>1.6784956944648419E-2</v>
      </c>
      <c r="S40" s="216">
        <f t="shared" si="8"/>
        <v>9.2359014962910737E-3</v>
      </c>
      <c r="T40" s="216">
        <f t="shared" si="8"/>
        <v>5.5989524956944307E-3</v>
      </c>
      <c r="U40" s="216">
        <f t="shared" si="8"/>
        <v>5.1732737802656246E-3</v>
      </c>
      <c r="V40" s="216">
        <f t="shared" si="8"/>
        <v>2.7662823378405295E-3</v>
      </c>
      <c r="W40" s="216" t="s">
        <v>450</v>
      </c>
    </row>
    <row r="41" spans="2:23" s="216" customFormat="1">
      <c r="B41" s="216" t="s">
        <v>39</v>
      </c>
      <c r="C41" s="216">
        <f t="shared" ref="C41:V41" si="9">SUM(C38:C40)</f>
        <v>0.17470817120622567</v>
      </c>
      <c r="D41" s="216">
        <f t="shared" si="9"/>
        <v>0.19034266748464693</v>
      </c>
      <c r="E41" s="216">
        <f t="shared" si="9"/>
        <v>0.14846359977699819</v>
      </c>
      <c r="F41" s="216">
        <f t="shared" si="9"/>
        <v>0.16616287112998521</v>
      </c>
      <c r="G41" s="216">
        <f t="shared" si="9"/>
        <v>0.17359006629787166</v>
      </c>
      <c r="H41" s="216">
        <f t="shared" si="9"/>
        <v>0.17537332519430207</v>
      </c>
      <c r="I41" s="216">
        <f t="shared" si="9"/>
        <v>0.17321608378688408</v>
      </c>
      <c r="J41" s="216">
        <f t="shared" si="9"/>
        <v>0.16886025755415787</v>
      </c>
      <c r="K41" s="216">
        <f t="shared" si="9"/>
        <v>0.14892018233938226</v>
      </c>
      <c r="L41" s="216">
        <f t="shared" si="9"/>
        <v>0.12220848347009981</v>
      </c>
      <c r="M41" s="216">
        <f t="shared" si="9"/>
        <v>9.6595664704241177E-2</v>
      </c>
      <c r="N41" s="216">
        <f t="shared" si="9"/>
        <v>9.7996182550021405E-2</v>
      </c>
      <c r="O41" s="216">
        <f t="shared" si="9"/>
        <v>7.0986305091918445E-2</v>
      </c>
      <c r="P41" s="216">
        <f t="shared" si="9"/>
        <v>5.4595379646653772E-2</v>
      </c>
      <c r="Q41" s="216">
        <f t="shared" si="9"/>
        <v>4.313297615619005E-2</v>
      </c>
      <c r="R41" s="216">
        <f t="shared" si="9"/>
        <v>3.647867622735218E-2</v>
      </c>
      <c r="S41" s="216">
        <f t="shared" si="9"/>
        <v>1.6075563121807357E-2</v>
      </c>
      <c r="T41" s="216">
        <f t="shared" si="9"/>
        <v>1.0516136467393626E-2</v>
      </c>
      <c r="U41" s="216">
        <f t="shared" si="9"/>
        <v>1.2060982425414457E-2</v>
      </c>
      <c r="V41" s="216">
        <f t="shared" si="9"/>
        <v>1.5701418549582843E-2</v>
      </c>
      <c r="W41" s="216" t="s">
        <v>39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baseColWidth="10" defaultRowHeight="15" x14ac:dyDescent="0"/>
  <sheetData>
    <row r="1" spans="1:2">
      <c r="A1" s="12" t="s">
        <v>453</v>
      </c>
    </row>
    <row r="2" spans="1:2">
      <c r="A2" t="s">
        <v>454</v>
      </c>
      <c r="B2">
        <v>0.34</v>
      </c>
    </row>
    <row r="3" spans="1:2">
      <c r="A3" t="s">
        <v>452</v>
      </c>
      <c r="B3">
        <v>0.33</v>
      </c>
    </row>
    <row r="4" spans="1:2">
      <c r="A4" t="s">
        <v>455</v>
      </c>
      <c r="B4">
        <v>0.17</v>
      </c>
    </row>
    <row r="5" spans="1:2">
      <c r="A5" t="s">
        <v>456</v>
      </c>
      <c r="B5">
        <v>0.04</v>
      </c>
    </row>
    <row r="6" spans="1:2">
      <c r="A6" t="s">
        <v>457</v>
      </c>
      <c r="B6">
        <v>0.05</v>
      </c>
    </row>
    <row r="7" spans="1:2">
      <c r="A7" t="s">
        <v>39</v>
      </c>
      <c r="B7">
        <v>7.0000000000000007E-2</v>
      </c>
    </row>
    <row r="9" spans="1:2">
      <c r="A9" t="s">
        <v>458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16" workbookViewId="0">
      <selection activeCell="B31" sqref="B31"/>
    </sheetView>
  </sheetViews>
  <sheetFormatPr baseColWidth="10" defaultRowHeight="15" outlineLevelRow="1" x14ac:dyDescent="0"/>
  <cols>
    <col min="1" max="3" width="10.83203125" style="219"/>
    <col min="4" max="4" width="12.1640625" style="219" bestFit="1" customWidth="1"/>
    <col min="5" max="16384" width="10.83203125" style="219"/>
  </cols>
  <sheetData>
    <row r="1" spans="1:8">
      <c r="A1" s="245" t="s">
        <v>459</v>
      </c>
      <c r="B1" s="245"/>
      <c r="C1" s="245"/>
      <c r="D1" s="245"/>
      <c r="E1" s="245"/>
      <c r="F1" s="245"/>
    </row>
    <row r="2" spans="1:8">
      <c r="B2" s="220">
        <v>41167</v>
      </c>
      <c r="C2" s="220">
        <v>41183</v>
      </c>
      <c r="D2" s="220">
        <v>41277</v>
      </c>
      <c r="E2" s="220">
        <v>41431</v>
      </c>
      <c r="F2" s="220">
        <v>41521</v>
      </c>
    </row>
    <row r="3" spans="1:8">
      <c r="A3" s="219" t="s">
        <v>460</v>
      </c>
      <c r="B3" s="221">
        <v>2E-3</v>
      </c>
      <c r="C3" s="221">
        <v>1E-3</v>
      </c>
      <c r="D3" s="221">
        <v>0</v>
      </c>
      <c r="E3" s="221">
        <v>0</v>
      </c>
    </row>
    <row r="4" spans="1:8">
      <c r="A4" s="219" t="s">
        <v>461</v>
      </c>
      <c r="B4" s="221">
        <v>4.0000000000000001E-3</v>
      </c>
      <c r="C4" s="221">
        <v>4.0000000000000001E-3</v>
      </c>
      <c r="D4" s="221">
        <v>2E-3</v>
      </c>
      <c r="E4" s="221">
        <v>1E-3</v>
      </c>
    </row>
    <row r="5" spans="1:8">
      <c r="A5" s="219" t="s">
        <v>462</v>
      </c>
      <c r="B5" s="221">
        <v>3.6999999999999998E-2</v>
      </c>
      <c r="C5" s="221">
        <v>3.4000000000000002E-2</v>
      </c>
      <c r="D5" s="221">
        <v>2.4E-2</v>
      </c>
      <c r="E5" s="221">
        <v>1.4999999999999999E-2</v>
      </c>
      <c r="H5" s="219" t="s">
        <v>463</v>
      </c>
    </row>
    <row r="6" spans="1:8">
      <c r="A6" s="219" t="s">
        <v>464</v>
      </c>
      <c r="B6" s="221">
        <v>0.14000000000000001</v>
      </c>
      <c r="C6" s="221">
        <v>0.129</v>
      </c>
      <c r="D6" s="221">
        <v>0.09</v>
      </c>
      <c r="E6" s="221">
        <v>3.2000000000000001E-2</v>
      </c>
      <c r="F6" s="222">
        <v>2.4E-2</v>
      </c>
    </row>
    <row r="7" spans="1:8">
      <c r="A7" s="219" t="s">
        <v>465</v>
      </c>
      <c r="B7" s="221">
        <v>3.0000000000000001E-3</v>
      </c>
      <c r="C7" s="221">
        <v>3.0000000000000001E-3</v>
      </c>
      <c r="D7" s="221">
        <v>2E-3</v>
      </c>
      <c r="E7" s="221">
        <v>1E-3</v>
      </c>
      <c r="F7" s="246">
        <v>0.307</v>
      </c>
    </row>
    <row r="8" spans="1:8">
      <c r="A8" s="219" t="s">
        <v>466</v>
      </c>
      <c r="B8" s="221">
        <v>0.57199999999999995</v>
      </c>
      <c r="C8" s="221">
        <v>0.55500000000000005</v>
      </c>
      <c r="D8" s="221">
        <v>0.47399999999999998</v>
      </c>
      <c r="E8" s="221">
        <v>0.36399999999999999</v>
      </c>
      <c r="F8" s="247"/>
    </row>
    <row r="9" spans="1:8">
      <c r="A9" s="219" t="s">
        <v>467</v>
      </c>
      <c r="B9" s="221">
        <v>5.0000000000000001E-3</v>
      </c>
      <c r="C9" s="221">
        <v>4.0000000000000001E-3</v>
      </c>
      <c r="D9" s="221">
        <v>4.0000000000000001E-3</v>
      </c>
      <c r="E9" s="221">
        <v>0</v>
      </c>
    </row>
    <row r="10" spans="1:8">
      <c r="A10" s="219" t="s">
        <v>468</v>
      </c>
      <c r="B10" s="221">
        <v>1.6E-2</v>
      </c>
      <c r="C10" s="221">
        <v>1.4999999999999999E-2</v>
      </c>
      <c r="D10" s="221">
        <v>1.0999999999999999E-2</v>
      </c>
      <c r="E10" s="221">
        <v>1E-3</v>
      </c>
      <c r="F10" s="222">
        <v>1E-3</v>
      </c>
    </row>
    <row r="11" spans="1:8">
      <c r="A11" s="219" t="s">
        <v>469</v>
      </c>
      <c r="B11" s="221">
        <v>1E-3</v>
      </c>
      <c r="C11" s="221">
        <v>0.23699999999999999</v>
      </c>
      <c r="D11" s="221"/>
      <c r="E11" s="221"/>
    </row>
    <row r="12" spans="1:8">
      <c r="A12" s="219" t="s">
        <v>470</v>
      </c>
      <c r="B12" s="221">
        <v>0.20899999999999999</v>
      </c>
      <c r="C12" s="221">
        <v>0.23699999999999999</v>
      </c>
      <c r="D12" s="221">
        <v>0.29099999999999998</v>
      </c>
      <c r="E12" s="221">
        <v>0.25600000000000001</v>
      </c>
      <c r="F12" s="223">
        <v>0.217</v>
      </c>
    </row>
    <row r="13" spans="1:8">
      <c r="A13" s="219" t="s">
        <v>471</v>
      </c>
      <c r="B13" s="221">
        <v>1.2E-2</v>
      </c>
      <c r="C13" s="221">
        <v>1.7999999999999999E-2</v>
      </c>
      <c r="D13" s="221">
        <v>0.09</v>
      </c>
      <c r="E13" s="221">
        <v>0.28999999999999998</v>
      </c>
      <c r="F13" s="222">
        <v>0.36599999999999999</v>
      </c>
    </row>
    <row r="14" spans="1:8" hidden="1" outlineLevel="1">
      <c r="A14" s="219" t="s">
        <v>472</v>
      </c>
      <c r="D14" s="221">
        <v>1.2E-2</v>
      </c>
      <c r="E14" s="221">
        <v>0.04</v>
      </c>
      <c r="F14" s="222">
        <v>8.5000000000000006E-2</v>
      </c>
    </row>
    <row r="15" spans="1:8" collapsed="1">
      <c r="A15" s="219" t="s">
        <v>472</v>
      </c>
      <c r="B15" s="224">
        <f>SUM(B12:B14)</f>
        <v>0.221</v>
      </c>
      <c r="C15" s="224">
        <f>SUM(C12:C14)</f>
        <v>0.255</v>
      </c>
      <c r="D15" s="224">
        <f>SUM(D12:D14)</f>
        <v>0.39300000000000002</v>
      </c>
      <c r="E15" s="224">
        <f>SUM(E12:E14)</f>
        <v>0.58600000000000008</v>
      </c>
      <c r="F15" s="222">
        <v>8.5000000000000006E-2</v>
      </c>
    </row>
    <row r="16" spans="1:8">
      <c r="B16" s="222"/>
      <c r="C16" s="222"/>
      <c r="D16" s="222"/>
      <c r="E16" s="222"/>
      <c r="F16" s="222"/>
    </row>
    <row r="18" spans="1:7">
      <c r="A18" s="245" t="s">
        <v>473</v>
      </c>
      <c r="B18" s="245"/>
      <c r="C18" s="245"/>
      <c r="D18" s="245"/>
      <c r="E18" s="245"/>
      <c r="F18" s="245"/>
    </row>
    <row r="19" spans="1:7">
      <c r="B19" s="220">
        <f>B2</f>
        <v>41167</v>
      </c>
      <c r="C19" s="220">
        <f>C2</f>
        <v>41183</v>
      </c>
      <c r="D19" s="220">
        <f>D2</f>
        <v>41277</v>
      </c>
      <c r="E19" s="220">
        <f>E2</f>
        <v>41431</v>
      </c>
      <c r="F19" s="220">
        <v>41521</v>
      </c>
      <c r="G19" s="220">
        <v>41674</v>
      </c>
    </row>
    <row r="20" spans="1:7">
      <c r="A20" s="225" t="s">
        <v>39</v>
      </c>
      <c r="B20" s="226">
        <v>4.2999999999999997E-2</v>
      </c>
      <c r="C20" s="224">
        <v>3.9E-2</v>
      </c>
      <c r="D20" s="224">
        <v>2.6000000000000002E-2</v>
      </c>
      <c r="E20" s="224">
        <v>1.6E-2</v>
      </c>
      <c r="F20" s="226">
        <v>0</v>
      </c>
      <c r="G20" s="227">
        <v>0</v>
      </c>
    </row>
    <row r="21" spans="1:7">
      <c r="A21" s="219" t="s">
        <v>474</v>
      </c>
      <c r="B21" s="226">
        <f>B6</f>
        <v>0.14000000000000001</v>
      </c>
      <c r="C21" s="224">
        <f>C6</f>
        <v>0.129</v>
      </c>
      <c r="D21" s="224">
        <f>D6</f>
        <v>0.09</v>
      </c>
      <c r="E21" s="224">
        <f>E6</f>
        <v>3.2000000000000001E-2</v>
      </c>
      <c r="F21" s="226">
        <v>2.4E-2</v>
      </c>
      <c r="G21" s="227">
        <v>1.2999999999999999E-2</v>
      </c>
    </row>
    <row r="22" spans="1:7">
      <c r="A22" s="219" t="s">
        <v>475</v>
      </c>
      <c r="B22" s="226">
        <f>SUM(B7:B8)</f>
        <v>0.57499999999999996</v>
      </c>
      <c r="C22" s="224">
        <f>SUM(C7:C8)</f>
        <v>0.55800000000000005</v>
      </c>
      <c r="D22" s="224">
        <f>SUM(D7:D8)</f>
        <v>0.47599999999999998</v>
      </c>
      <c r="E22" s="224">
        <f>SUM(E7:E8)</f>
        <v>0.36499999999999999</v>
      </c>
      <c r="F22" s="226">
        <v>0.307</v>
      </c>
      <c r="G22" s="227">
        <v>0.2</v>
      </c>
    </row>
    <row r="23" spans="1:7">
      <c r="A23" s="219" t="s">
        <v>476</v>
      </c>
      <c r="B23" s="226">
        <f>SUM(B9:B10)</f>
        <v>2.1000000000000001E-2</v>
      </c>
      <c r="C23" s="224">
        <f>SUM(C9:C10)</f>
        <v>1.9E-2</v>
      </c>
      <c r="D23" s="224">
        <f>SUM(D9:D10)</f>
        <v>1.4999999999999999E-2</v>
      </c>
      <c r="E23" s="224">
        <f>SUM(E9:E10)</f>
        <v>1E-3</v>
      </c>
      <c r="F23" s="226">
        <v>1E-3</v>
      </c>
      <c r="G23" s="227">
        <v>1E-3</v>
      </c>
    </row>
    <row r="24" spans="1:7">
      <c r="A24" s="219" t="s">
        <v>477</v>
      </c>
      <c r="B24" s="226">
        <f>SUM(B12)</f>
        <v>0.20899999999999999</v>
      </c>
      <c r="C24" s="224">
        <f>SUM(C12)</f>
        <v>0.23699999999999999</v>
      </c>
      <c r="D24" s="224">
        <f>SUM(D12)</f>
        <v>0.29099999999999998</v>
      </c>
      <c r="E24" s="224">
        <f>SUM(E12)</f>
        <v>0.25600000000000001</v>
      </c>
      <c r="F24" s="226">
        <v>0.217</v>
      </c>
      <c r="G24" s="227">
        <v>0.161</v>
      </c>
    </row>
    <row r="25" spans="1:7">
      <c r="A25" s="225" t="s">
        <v>478</v>
      </c>
      <c r="B25" s="226">
        <f>SUM(B13:B14)</f>
        <v>1.2E-2</v>
      </c>
      <c r="C25" s="224">
        <f>SUM(C13:C14)</f>
        <v>1.7999999999999999E-2</v>
      </c>
      <c r="D25" s="224">
        <f>SUM(D13:D14)</f>
        <v>0.10199999999999999</v>
      </c>
      <c r="E25" s="224">
        <f>SUM(E13:E14)</f>
        <v>0.32999999999999996</v>
      </c>
      <c r="F25" s="228">
        <f>F13+F15</f>
        <v>0.45100000000000001</v>
      </c>
      <c r="G25" s="227">
        <f>0.355+0.163+0.089</f>
        <v>0.60699999999999998</v>
      </c>
    </row>
    <row r="26" spans="1:7">
      <c r="A26" s="225" t="s">
        <v>479</v>
      </c>
      <c r="F26" s="222"/>
      <c r="G26" s="227">
        <v>1.7999999999999999E-2</v>
      </c>
    </row>
    <row r="27" spans="1:7">
      <c r="A27" s="229" t="s">
        <v>44</v>
      </c>
      <c r="B27" s="224">
        <f>SUM(B20:B25)</f>
        <v>1</v>
      </c>
      <c r="C27" s="224">
        <f>SUM(C20:C25)</f>
        <v>1</v>
      </c>
      <c r="D27" s="224">
        <f>SUM(D20:D25)</f>
        <v>0.99999999999999989</v>
      </c>
      <c r="E27" s="224">
        <f>SUM(E20:E25)</f>
        <v>0.99999999999999989</v>
      </c>
      <c r="F27" s="224">
        <f>SUM(F20:F25)</f>
        <v>1</v>
      </c>
      <c r="G27" s="224">
        <f>SUM(G20:G26)</f>
        <v>1</v>
      </c>
    </row>
  </sheetData>
  <mergeCells count="3">
    <mergeCell ref="A1:F1"/>
    <mergeCell ref="F7:F8"/>
    <mergeCell ref="A18:F18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Y20"/>
  <sheetViews>
    <sheetView topLeftCell="AG2" workbookViewId="0">
      <selection activeCell="AG2" sqref="A1:XFD1048576"/>
    </sheetView>
  </sheetViews>
  <sheetFormatPr baseColWidth="10" defaultRowHeight="15" x14ac:dyDescent="0"/>
  <cols>
    <col min="1" max="16384" width="10.83203125" style="1"/>
  </cols>
  <sheetData>
    <row r="3" spans="2:51">
      <c r="C3" s="1" t="s">
        <v>480</v>
      </c>
      <c r="D3" s="1" t="s">
        <v>481</v>
      </c>
      <c r="E3" s="1" t="s">
        <v>482</v>
      </c>
      <c r="F3" s="1" t="s">
        <v>483</v>
      </c>
      <c r="G3" s="1" t="s">
        <v>484</v>
      </c>
      <c r="H3" s="230" t="s">
        <v>485</v>
      </c>
      <c r="I3" s="1" t="s">
        <v>486</v>
      </c>
      <c r="J3" s="1" t="s">
        <v>487</v>
      </c>
      <c r="K3" s="1" t="s">
        <v>488</v>
      </c>
      <c r="L3" s="1" t="s">
        <v>489</v>
      </c>
      <c r="M3" s="1" t="s">
        <v>490</v>
      </c>
      <c r="N3" s="1" t="s">
        <v>366</v>
      </c>
      <c r="O3" s="1" t="s">
        <v>491</v>
      </c>
      <c r="P3" s="1" t="s">
        <v>492</v>
      </c>
      <c r="Q3" s="1" t="s">
        <v>493</v>
      </c>
      <c r="R3" s="1" t="s">
        <v>494</v>
      </c>
      <c r="S3" s="1" t="s">
        <v>495</v>
      </c>
      <c r="T3" s="230" t="s">
        <v>496</v>
      </c>
      <c r="U3" s="1" t="s">
        <v>497</v>
      </c>
      <c r="V3" s="1" t="s">
        <v>498</v>
      </c>
      <c r="W3" s="1" t="s">
        <v>499</v>
      </c>
      <c r="X3" s="1" t="s">
        <v>500</v>
      </c>
      <c r="Y3" s="1" t="s">
        <v>501</v>
      </c>
      <c r="Z3" s="1" t="s">
        <v>368</v>
      </c>
      <c r="AA3" s="1" t="s">
        <v>272</v>
      </c>
      <c r="AB3" s="1" t="s">
        <v>502</v>
      </c>
      <c r="AC3" s="1" t="s">
        <v>503</v>
      </c>
      <c r="AD3" s="1" t="s">
        <v>504</v>
      </c>
      <c r="AE3" s="1" t="s">
        <v>320</v>
      </c>
      <c r="AF3" s="1" t="s">
        <v>321</v>
      </c>
      <c r="AG3" s="1" t="s">
        <v>322</v>
      </c>
      <c r="AH3" s="1" t="s">
        <v>323</v>
      </c>
      <c r="AI3" s="230" t="s">
        <v>324</v>
      </c>
      <c r="AJ3" s="1" t="s">
        <v>325</v>
      </c>
      <c r="AK3" s="1" t="s">
        <v>326</v>
      </c>
      <c r="AL3" s="1" t="s">
        <v>327</v>
      </c>
      <c r="AM3" s="1" t="s">
        <v>274</v>
      </c>
      <c r="AN3" s="1" t="s">
        <v>328</v>
      </c>
      <c r="AO3" s="1" t="s">
        <v>329</v>
      </c>
      <c r="AP3" s="1" t="s">
        <v>330</v>
      </c>
      <c r="AQ3" s="1" t="s">
        <v>331</v>
      </c>
      <c r="AR3" s="1" t="s">
        <v>332</v>
      </c>
      <c r="AS3" s="230" t="s">
        <v>333</v>
      </c>
      <c r="AT3" s="1" t="s">
        <v>334</v>
      </c>
      <c r="AU3" s="1" t="s">
        <v>335</v>
      </c>
      <c r="AV3" s="1" t="s">
        <v>336</v>
      </c>
      <c r="AW3" s="1" t="s">
        <v>337</v>
      </c>
      <c r="AX3" s="1" t="s">
        <v>338</v>
      </c>
    </row>
    <row r="4" spans="2:51">
      <c r="B4" s="1" t="s">
        <v>349</v>
      </c>
      <c r="C4" s="36">
        <v>7.0999999999999994E-2</v>
      </c>
      <c r="D4" s="36">
        <v>0.09</v>
      </c>
      <c r="E4" s="36">
        <v>0.09</v>
      </c>
      <c r="F4" s="36">
        <v>0.12</v>
      </c>
      <c r="G4" s="36">
        <v>0.13</v>
      </c>
      <c r="H4" s="36">
        <v>0.14899999999999999</v>
      </c>
      <c r="I4" s="36">
        <v>0.17</v>
      </c>
      <c r="J4" s="36">
        <v>0.19600000000000001</v>
      </c>
      <c r="K4" s="36">
        <v>0.214</v>
      </c>
      <c r="L4" s="36">
        <v>0.23499999999999999</v>
      </c>
      <c r="M4" s="36">
        <v>0.26</v>
      </c>
      <c r="N4" s="36">
        <v>0.28699999999999998</v>
      </c>
      <c r="O4" s="36">
        <v>0.312</v>
      </c>
      <c r="P4" s="36">
        <v>0.33</v>
      </c>
      <c r="Q4" s="36">
        <v>0.34700000000000003</v>
      </c>
      <c r="R4" s="36">
        <v>0.36399999999999999</v>
      </c>
      <c r="S4" s="36">
        <v>0.38100000000000001</v>
      </c>
      <c r="T4" s="36">
        <v>0.40100000000000002</v>
      </c>
      <c r="U4" s="36">
        <v>0.41799999999999998</v>
      </c>
      <c r="V4" s="36">
        <v>0.437</v>
      </c>
      <c r="W4" s="36">
        <v>0.44799999999999995</v>
      </c>
      <c r="X4" s="36">
        <v>0.46300000000000002</v>
      </c>
      <c r="Y4" s="36">
        <v>0.46899999999999997</v>
      </c>
      <c r="Z4" s="36">
        <v>0.47299999999999998</v>
      </c>
      <c r="AA4" s="36">
        <v>0.48599999999999999</v>
      </c>
      <c r="AB4" s="36">
        <v>0.501</v>
      </c>
      <c r="AC4" s="36">
        <v>0.51</v>
      </c>
      <c r="AD4" s="36">
        <v>0.50800000000000001</v>
      </c>
      <c r="AE4" s="36">
        <v>0.50900000000000001</v>
      </c>
      <c r="AF4" s="36">
        <v>0.51600000000000001</v>
      </c>
      <c r="AG4" s="36">
        <v>0.52200000000000002</v>
      </c>
      <c r="AH4" s="36">
        <v>0.52600000000000002</v>
      </c>
      <c r="AI4" s="36">
        <v>0.52500000000000002</v>
      </c>
      <c r="AJ4" s="9">
        <v>0.53600000000000003</v>
      </c>
      <c r="AK4" s="9">
        <v>0.53700000000000003</v>
      </c>
      <c r="AL4" s="9">
        <v>0.53400000000000003</v>
      </c>
      <c r="AM4" s="9">
        <v>0.52300000000000002</v>
      </c>
      <c r="AN4" s="9">
        <v>0.51700000000000002</v>
      </c>
      <c r="AO4" s="9">
        <v>0.52</v>
      </c>
      <c r="AP4" s="9">
        <v>0.52</v>
      </c>
      <c r="AQ4" s="9">
        <v>0.52400000000000002</v>
      </c>
      <c r="AR4" s="9">
        <v>0.52</v>
      </c>
      <c r="AS4" s="9">
        <v>0.51800000000000002</v>
      </c>
      <c r="AT4" s="9">
        <v>0.51600000000000001</v>
      </c>
      <c r="AU4" s="9">
        <v>0.51800000000000002</v>
      </c>
      <c r="AV4" s="9">
        <v>0.52200000000000002</v>
      </c>
      <c r="AW4" s="9">
        <v>0.51900000000000002</v>
      </c>
      <c r="AX4" s="9">
        <v>0.51500000000000001</v>
      </c>
    </row>
    <row r="5" spans="2:51">
      <c r="B5" s="1" t="s">
        <v>49</v>
      </c>
      <c r="C5" s="36">
        <v>0.251</v>
      </c>
      <c r="D5" s="36">
        <v>0.254</v>
      </c>
      <c r="E5" s="36">
        <v>0.254</v>
      </c>
      <c r="F5" s="36">
        <v>0.251</v>
      </c>
      <c r="G5" s="36">
        <v>0.24399999999999999</v>
      </c>
      <c r="H5" s="36">
        <v>0.24299999999999999</v>
      </c>
      <c r="I5" s="36">
        <v>0.23799999999999999</v>
      </c>
      <c r="J5" s="36">
        <v>0.24199999999999999</v>
      </c>
      <c r="K5" s="36">
        <v>0.24299999999999999</v>
      </c>
      <c r="L5" s="36">
        <v>0.246</v>
      </c>
      <c r="M5" s="36">
        <v>0.25</v>
      </c>
      <c r="N5" s="36">
        <v>0.25</v>
      </c>
      <c r="O5" s="36">
        <v>0.247</v>
      </c>
      <c r="P5" s="36">
        <v>0.252</v>
      </c>
      <c r="Q5" s="36">
        <v>0.255</v>
      </c>
      <c r="R5" s="36">
        <v>0.26</v>
      </c>
      <c r="S5" s="36">
        <v>0.26600000000000001</v>
      </c>
      <c r="T5" s="36">
        <v>0.26600000000000001</v>
      </c>
      <c r="U5" s="36">
        <v>0.27</v>
      </c>
      <c r="V5" s="36">
        <v>0.27300000000000002</v>
      </c>
      <c r="W5" s="36">
        <v>0.27399999999999997</v>
      </c>
      <c r="X5" s="36">
        <v>0.28100000000000003</v>
      </c>
      <c r="Y5" s="36">
        <v>0.28699999999999998</v>
      </c>
      <c r="Z5" s="36">
        <v>0.29600000000000004</v>
      </c>
      <c r="AA5" s="36">
        <v>0.29499999999999998</v>
      </c>
      <c r="AB5" s="36">
        <v>0.30199999999999999</v>
      </c>
      <c r="AC5" s="36">
        <v>0.307</v>
      </c>
      <c r="AD5" s="36">
        <v>0.314</v>
      </c>
      <c r="AE5" s="36">
        <v>0.31900000000000001</v>
      </c>
      <c r="AF5" s="36">
        <v>0.32400000000000001</v>
      </c>
      <c r="AG5" s="36">
        <v>0.33399999999999996</v>
      </c>
      <c r="AH5" s="36">
        <v>0.34300000000000003</v>
      </c>
      <c r="AI5" s="36">
        <v>0.34299999999999997</v>
      </c>
      <c r="AJ5" s="36">
        <v>0.34299999999999997</v>
      </c>
      <c r="AK5" s="36">
        <v>0.35</v>
      </c>
      <c r="AL5" s="36">
        <v>0.36299999999999999</v>
      </c>
      <c r="AM5" s="36">
        <v>0.378</v>
      </c>
      <c r="AN5" s="36">
        <v>0.38900000000000001</v>
      </c>
      <c r="AO5" s="36">
        <v>0.39</v>
      </c>
      <c r="AP5" s="36">
        <v>0.39200000000000002</v>
      </c>
      <c r="AQ5" s="36">
        <v>0.39200000000000002</v>
      </c>
      <c r="AR5" s="36">
        <v>0.39900000000000002</v>
      </c>
      <c r="AS5" s="36">
        <v>0.40400000000000003</v>
      </c>
      <c r="AT5" s="36">
        <v>0.40699999999999997</v>
      </c>
      <c r="AU5" s="9">
        <v>0.40600000000000003</v>
      </c>
      <c r="AV5" s="9">
        <v>0.40600000000000003</v>
      </c>
      <c r="AW5" s="9">
        <v>0.41199999999999998</v>
      </c>
      <c r="AX5" s="9">
        <v>0.41799999999999998</v>
      </c>
    </row>
    <row r="6" spans="2:51">
      <c r="B6" s="1" t="s">
        <v>505</v>
      </c>
      <c r="C6" s="36">
        <v>0.43</v>
      </c>
      <c r="D6" s="36">
        <v>0.42099999999999999</v>
      </c>
      <c r="E6" s="36">
        <v>0.42100000000000004</v>
      </c>
      <c r="F6" s="36">
        <v>0.41099999999999998</v>
      </c>
      <c r="G6" s="36">
        <v>0.41699999999999998</v>
      </c>
      <c r="H6" s="36">
        <v>0.40100000000000002</v>
      </c>
      <c r="I6" s="36">
        <v>0.39300000000000002</v>
      </c>
      <c r="J6" s="36">
        <v>0.376</v>
      </c>
      <c r="K6" s="36">
        <v>0.373</v>
      </c>
      <c r="L6" s="36">
        <v>0.35799999999999998</v>
      </c>
      <c r="M6" s="36">
        <v>0.33500000000000002</v>
      </c>
      <c r="N6" s="36">
        <v>0.316</v>
      </c>
      <c r="O6" s="36">
        <v>0.30399999999999999</v>
      </c>
      <c r="P6" s="36">
        <v>0.28899999999999998</v>
      </c>
      <c r="Q6" s="36">
        <v>0.27100000000000002</v>
      </c>
      <c r="R6" s="36">
        <v>0.25700000000000001</v>
      </c>
      <c r="S6" s="36">
        <v>0.247</v>
      </c>
      <c r="T6" s="36">
        <v>0.23399999999999999</v>
      </c>
      <c r="U6" s="36">
        <v>0.217</v>
      </c>
      <c r="V6" s="36">
        <v>0.19700000000000001</v>
      </c>
      <c r="W6" s="36">
        <v>0.18899999999999997</v>
      </c>
      <c r="X6" s="36">
        <v>0.17199999999999999</v>
      </c>
      <c r="Y6" s="36">
        <v>0.16600000000000001</v>
      </c>
      <c r="Z6" s="36">
        <v>0.16</v>
      </c>
      <c r="AA6" s="36">
        <v>0.152</v>
      </c>
      <c r="AB6" s="36">
        <v>0.13400000000000001</v>
      </c>
      <c r="AC6" s="36">
        <v>0.123</v>
      </c>
      <c r="AD6" s="36">
        <v>0.11600000000000001</v>
      </c>
      <c r="AE6" s="36">
        <v>0.114</v>
      </c>
      <c r="AF6" s="36">
        <v>0.107</v>
      </c>
      <c r="AG6" s="36">
        <v>9.5000000000000001E-2</v>
      </c>
      <c r="AH6" s="36">
        <v>8.3000000000000004E-2</v>
      </c>
      <c r="AI6" s="36">
        <v>8.4000000000000005E-2</v>
      </c>
      <c r="AJ6" s="36">
        <v>7.8E-2</v>
      </c>
      <c r="AK6" s="36">
        <v>7.2999999999999995E-2</v>
      </c>
      <c r="AL6" s="36">
        <v>6.4000000000000001E-2</v>
      </c>
      <c r="AM6" s="36">
        <v>5.8999999999999997E-2</v>
      </c>
      <c r="AN6" s="36">
        <v>5.3999999999999999E-2</v>
      </c>
      <c r="AO6" s="36">
        <v>5.1999999999999998E-2</v>
      </c>
      <c r="AP6" s="36">
        <v>5.0999999999999997E-2</v>
      </c>
      <c r="AQ6" s="36">
        <v>4.8000000000000001E-2</v>
      </c>
      <c r="AR6" s="36">
        <v>4.3999999999999997E-2</v>
      </c>
      <c r="AS6" s="36">
        <v>4.2999999999999997E-2</v>
      </c>
      <c r="AT6" s="36">
        <v>0.04</v>
      </c>
      <c r="AU6" s="9">
        <v>3.7999999999999999E-2</v>
      </c>
      <c r="AV6" s="9">
        <v>3.5999999999999997E-2</v>
      </c>
      <c r="AW6" s="9">
        <v>3.5000000000000003E-2</v>
      </c>
      <c r="AX6" s="9">
        <v>3.4000000000000002E-2</v>
      </c>
    </row>
    <row r="7" spans="2:51">
      <c r="B7" s="1" t="s">
        <v>353</v>
      </c>
      <c r="C7" s="36">
        <v>0.157</v>
      </c>
      <c r="D7" s="36">
        <v>0.151</v>
      </c>
      <c r="E7" s="36">
        <v>0.151</v>
      </c>
      <c r="F7" s="36">
        <v>0.14000000000000001</v>
      </c>
      <c r="G7" s="36">
        <v>0.13200000000000001</v>
      </c>
      <c r="H7" s="36">
        <v>0.128</v>
      </c>
      <c r="I7" s="36">
        <v>0.11799999999999999</v>
      </c>
      <c r="J7" s="36">
        <v>0.108</v>
      </c>
      <c r="K7" s="36">
        <v>0.1</v>
      </c>
      <c r="L7" s="36">
        <v>9.7000000000000003E-2</v>
      </c>
      <c r="M7" s="36">
        <v>0.09</v>
      </c>
      <c r="N7" s="36">
        <v>8.4000000000000005E-2</v>
      </c>
      <c r="O7" s="36">
        <v>0.08</v>
      </c>
      <c r="P7" s="36">
        <v>7.6999999999999999E-2</v>
      </c>
      <c r="Q7" s="36">
        <v>7.4999999999999997E-2</v>
      </c>
      <c r="R7" s="36">
        <v>6.7000000000000004E-2</v>
      </c>
      <c r="S7" s="36">
        <v>5.8000000000000003E-2</v>
      </c>
      <c r="T7" s="36">
        <v>5.7999999999999996E-2</v>
      </c>
      <c r="U7" s="36">
        <v>5.7000000000000002E-2</v>
      </c>
      <c r="V7" s="36">
        <v>5.7000000000000002E-2</v>
      </c>
      <c r="W7" s="36">
        <v>5.5999999999999994E-2</v>
      </c>
      <c r="X7" s="36">
        <v>5.3999999999999999E-2</v>
      </c>
      <c r="Y7" s="36">
        <v>5.1999999999999998E-2</v>
      </c>
      <c r="Z7" s="36">
        <v>4.7E-2</v>
      </c>
      <c r="AA7" s="36">
        <v>4.3999999999999997E-2</v>
      </c>
      <c r="AB7" s="36">
        <v>3.9E-2</v>
      </c>
      <c r="AC7" s="36">
        <v>3.9E-2</v>
      </c>
      <c r="AD7" s="36">
        <v>0.04</v>
      </c>
      <c r="AE7" s="36">
        <v>0.04</v>
      </c>
      <c r="AF7" s="36">
        <v>3.7999999999999999E-2</v>
      </c>
      <c r="AG7" s="36">
        <v>3.6000000000000004E-2</v>
      </c>
      <c r="AH7" s="36">
        <v>3.6000000000000004E-2</v>
      </c>
      <c r="AI7" s="36">
        <v>3.6000000000000004E-2</v>
      </c>
      <c r="AJ7" s="9">
        <v>3.2000000000000001E-2</v>
      </c>
      <c r="AK7" s="9">
        <v>0.03</v>
      </c>
      <c r="AL7" s="9">
        <v>2.9000000000000001E-2</v>
      </c>
      <c r="AM7" s="9">
        <v>3.1E-2</v>
      </c>
      <c r="AN7" s="9">
        <v>3.2000000000000001E-2</v>
      </c>
      <c r="AO7" s="9">
        <v>0.03</v>
      </c>
      <c r="AP7" s="9">
        <v>0.03</v>
      </c>
      <c r="AQ7" s="36">
        <v>0.03</v>
      </c>
      <c r="AR7" s="36">
        <v>3.1E-2</v>
      </c>
      <c r="AS7" s="36">
        <v>0.03</v>
      </c>
      <c r="AT7" s="36">
        <v>3.2000000000000001E-2</v>
      </c>
      <c r="AU7" s="9">
        <v>3.3000000000000002E-2</v>
      </c>
      <c r="AV7" s="9">
        <v>3.2000000000000001E-2</v>
      </c>
      <c r="AW7" s="9">
        <v>3.1E-2</v>
      </c>
      <c r="AX7" s="9">
        <v>3.1E-2</v>
      </c>
    </row>
    <row r="8" spans="2:51">
      <c r="B8" s="1" t="s">
        <v>39</v>
      </c>
      <c r="C8" s="36">
        <v>9.099999999999997E-2</v>
      </c>
      <c r="D8" s="36">
        <v>8.4000000000000075E-2</v>
      </c>
      <c r="E8" s="36">
        <v>8.3999999999999964E-2</v>
      </c>
      <c r="F8" s="36">
        <v>7.7999999999999958E-2</v>
      </c>
      <c r="G8" s="36">
        <v>7.7000000000000068E-2</v>
      </c>
      <c r="H8" s="36">
        <v>7.8999999999999959E-2</v>
      </c>
      <c r="I8" s="36">
        <v>8.0999999999999961E-2</v>
      </c>
      <c r="J8" s="36">
        <v>7.7999999999999958E-2</v>
      </c>
      <c r="K8" s="36">
        <v>7.0000000000000062E-2</v>
      </c>
      <c r="L8" s="36">
        <v>6.4000000000000057E-2</v>
      </c>
      <c r="M8" s="36">
        <v>6.5000000000000058E-2</v>
      </c>
      <c r="N8" s="36">
        <v>6.3000000000000056E-2</v>
      </c>
      <c r="O8" s="36">
        <v>5.7000000000000051E-2</v>
      </c>
      <c r="P8" s="36">
        <v>5.2000000000000046E-2</v>
      </c>
      <c r="Q8" s="36">
        <v>5.1999999999999935E-2</v>
      </c>
      <c r="R8" s="36">
        <v>5.2000000000000046E-2</v>
      </c>
      <c r="S8" s="36">
        <v>4.7999999999999932E-2</v>
      </c>
      <c r="T8" s="36">
        <v>4.0999999999999925E-2</v>
      </c>
      <c r="U8" s="36">
        <v>3.8000000000000034E-2</v>
      </c>
      <c r="V8" s="36">
        <v>3.5999999999999921E-2</v>
      </c>
      <c r="W8" s="36">
        <v>3.300000000000014E-2</v>
      </c>
      <c r="X8" s="36">
        <v>3.0000000000000027E-2</v>
      </c>
      <c r="Y8" s="36">
        <v>2.5999999999999912E-2</v>
      </c>
      <c r="Z8" s="36">
        <v>2.399999999999991E-2</v>
      </c>
      <c r="AA8" s="36">
        <v>2.300000000000002E-2</v>
      </c>
      <c r="AB8" s="36">
        <v>2.4000000000000021E-2</v>
      </c>
      <c r="AC8" s="36">
        <v>2.1000000000000019E-2</v>
      </c>
      <c r="AD8" s="36">
        <v>2.1999999999999909E-2</v>
      </c>
      <c r="AE8" s="36">
        <v>1.7999999999999905E-2</v>
      </c>
      <c r="AF8" s="36">
        <v>1.4999999999999902E-2</v>
      </c>
      <c r="AG8" s="36">
        <v>1.3000000000000012E-2</v>
      </c>
      <c r="AH8" s="36">
        <v>1.2000000000000011E-2</v>
      </c>
      <c r="AI8" s="36">
        <v>1.2000000000000011E-2</v>
      </c>
      <c r="AJ8" s="36">
        <v>1.100000000000001E-2</v>
      </c>
      <c r="AK8" s="36">
        <v>1.0000000000000009E-2</v>
      </c>
      <c r="AL8" s="36">
        <v>9.9999999999998979E-3</v>
      </c>
      <c r="AM8" s="36">
        <v>9.000000000000008E-3</v>
      </c>
      <c r="AN8" s="36">
        <v>7.9999999999998961E-3</v>
      </c>
      <c r="AO8" s="36">
        <v>7.9999999999998961E-3</v>
      </c>
      <c r="AP8" s="36">
        <v>6.9999999999998952E-3</v>
      </c>
      <c r="AQ8" s="36">
        <v>5.9999999999998943E-3</v>
      </c>
      <c r="AR8" s="36">
        <v>6.0000000000000001E-3</v>
      </c>
      <c r="AS8" s="36">
        <v>3.0000000000000001E-3</v>
      </c>
      <c r="AT8" s="36">
        <v>3.0000000000000001E-3</v>
      </c>
      <c r="AU8" s="9">
        <v>3.0000000000000001E-3</v>
      </c>
      <c r="AV8" s="9">
        <v>2E-3</v>
      </c>
      <c r="AW8" s="9">
        <v>2E-3</v>
      </c>
      <c r="AX8" s="9">
        <v>2E-3</v>
      </c>
    </row>
    <row r="9" spans="2:51">
      <c r="AE9" s="36"/>
    </row>
    <row r="10" spans="2:51">
      <c r="U10" s="36">
        <v>0.68799999999999994</v>
      </c>
      <c r="V10" s="36">
        <v>0.71</v>
      </c>
      <c r="AG10" s="36">
        <v>0.85599999999999998</v>
      </c>
      <c r="AH10" s="36">
        <v>0.86899999999999999</v>
      </c>
    </row>
    <row r="11" spans="2:51">
      <c r="B11" s="45">
        <v>43</v>
      </c>
    </row>
    <row r="13" spans="2:51">
      <c r="AX13" s="216">
        <f>AX14/AU14-1</f>
        <v>5.4766734279918738E-2</v>
      </c>
    </row>
    <row r="14" spans="2:51">
      <c r="C14" s="1">
        <v>42.7</v>
      </c>
      <c r="D14" s="1">
        <v>45.4</v>
      </c>
      <c r="E14" s="45">
        <v>46.787499999999994</v>
      </c>
      <c r="F14" s="45">
        <v>48.174999999999997</v>
      </c>
      <c r="G14" s="1">
        <v>49.1</v>
      </c>
      <c r="H14" s="231">
        <v>51.25</v>
      </c>
      <c r="I14" s="1">
        <v>53.4</v>
      </c>
      <c r="J14" s="1">
        <v>55.7</v>
      </c>
      <c r="K14" s="1">
        <v>58.7</v>
      </c>
      <c r="L14" s="1">
        <v>60.7</v>
      </c>
      <c r="M14" s="1">
        <v>61.5</v>
      </c>
      <c r="N14" s="1">
        <v>63.2</v>
      </c>
      <c r="O14" s="1">
        <v>65.8</v>
      </c>
      <c r="P14" s="1">
        <v>69.5</v>
      </c>
      <c r="Q14" s="1">
        <v>72.5</v>
      </c>
      <c r="R14" s="1">
        <v>74.599999999999994</v>
      </c>
      <c r="S14" s="1">
        <v>76.8</v>
      </c>
      <c r="T14" s="1">
        <v>78.5</v>
      </c>
      <c r="U14" s="1">
        <v>82.2</v>
      </c>
      <c r="V14" s="1">
        <v>84.5</v>
      </c>
      <c r="W14" s="1">
        <v>87.4</v>
      </c>
      <c r="X14" s="1">
        <v>90</v>
      </c>
      <c r="Y14" s="1">
        <v>91.4</v>
      </c>
      <c r="Z14" s="1">
        <v>97.9</v>
      </c>
      <c r="AA14" s="1">
        <v>100</v>
      </c>
      <c r="AB14" s="1">
        <v>104</v>
      </c>
      <c r="AC14" s="1">
        <v>106</v>
      </c>
      <c r="AD14" s="1">
        <v>107</v>
      </c>
      <c r="AE14" s="1">
        <v>110</v>
      </c>
      <c r="AF14" s="1">
        <v>112</v>
      </c>
      <c r="AG14" s="1">
        <v>114</v>
      </c>
      <c r="AH14" s="1">
        <v>116.5</v>
      </c>
      <c r="AI14" s="1">
        <v>119.3</v>
      </c>
      <c r="AJ14" s="1">
        <v>121.3</v>
      </c>
      <c r="AK14" s="1">
        <v>123.3</v>
      </c>
      <c r="AL14" s="1">
        <v>125.9</v>
      </c>
      <c r="AM14" s="1">
        <v>129.4</v>
      </c>
      <c r="AN14" s="1">
        <v>133.69999999999999</v>
      </c>
      <c r="AO14" s="1">
        <v>136.69999999999999</v>
      </c>
      <c r="AP14" s="1">
        <v>138.5</v>
      </c>
      <c r="AQ14" s="1">
        <v>141</v>
      </c>
      <c r="AR14" s="1">
        <v>142</v>
      </c>
      <c r="AS14" s="1">
        <v>143.30000000000001</v>
      </c>
      <c r="AT14" s="1">
        <v>145</v>
      </c>
      <c r="AU14" s="1">
        <v>147.9</v>
      </c>
      <c r="AV14" s="1">
        <v>149.19999999999999</v>
      </c>
      <c r="AW14" s="1">
        <v>152.5</v>
      </c>
      <c r="AX14" s="1">
        <v>156</v>
      </c>
    </row>
    <row r="15" spans="2:51">
      <c r="B15" s="231" t="s">
        <v>349</v>
      </c>
      <c r="C15" s="231">
        <v>3.0316999999999998</v>
      </c>
      <c r="D15" s="231">
        <v>4.0859999999999994</v>
      </c>
      <c r="E15" s="231">
        <v>4.2108749999999997</v>
      </c>
      <c r="F15" s="231">
        <v>5.7809999999999997</v>
      </c>
      <c r="G15" s="231">
        <v>6.383</v>
      </c>
      <c r="H15" s="231">
        <v>7.6362499999999995</v>
      </c>
      <c r="I15" s="231">
        <v>9.0780000000000012</v>
      </c>
      <c r="J15" s="231">
        <v>10.917200000000001</v>
      </c>
      <c r="K15" s="231">
        <v>12.5618</v>
      </c>
      <c r="L15" s="231">
        <v>14.2645</v>
      </c>
      <c r="M15" s="231">
        <v>15.99</v>
      </c>
      <c r="N15" s="231">
        <v>18.138400000000001</v>
      </c>
      <c r="O15" s="231">
        <v>20.529599999999999</v>
      </c>
      <c r="P15" s="231">
        <v>22.935000000000002</v>
      </c>
      <c r="Q15" s="231">
        <v>25.157500000000002</v>
      </c>
      <c r="R15" s="231">
        <v>27.154399999999995</v>
      </c>
      <c r="S15" s="231">
        <v>29.2608</v>
      </c>
      <c r="T15" s="231">
        <v>31.4785</v>
      </c>
      <c r="U15" s="231">
        <v>34.3596</v>
      </c>
      <c r="V15" s="231">
        <v>36.926499999999997</v>
      </c>
      <c r="W15" s="231">
        <v>39.155200000000001</v>
      </c>
      <c r="X15" s="231">
        <v>41.67</v>
      </c>
      <c r="Y15" s="231">
        <v>42.866599999999998</v>
      </c>
      <c r="Z15" s="231">
        <v>46.306699999999999</v>
      </c>
      <c r="AA15" s="231">
        <v>48.6</v>
      </c>
      <c r="AB15" s="231">
        <v>52.103999999999999</v>
      </c>
      <c r="AC15" s="231">
        <v>54.06</v>
      </c>
      <c r="AD15" s="231">
        <v>54.356000000000002</v>
      </c>
      <c r="AE15" s="231">
        <v>55.99</v>
      </c>
      <c r="AF15" s="231">
        <v>57.792000000000002</v>
      </c>
      <c r="AG15" s="231">
        <v>59.508000000000003</v>
      </c>
      <c r="AH15" s="231">
        <v>61.279000000000003</v>
      </c>
      <c r="AI15" s="231">
        <v>62.6325</v>
      </c>
      <c r="AJ15" s="231">
        <v>65.016800000000003</v>
      </c>
      <c r="AK15" s="231">
        <v>66.212100000000007</v>
      </c>
      <c r="AL15" s="231">
        <v>67.23060000000001</v>
      </c>
      <c r="AM15" s="231">
        <v>67.676200000000009</v>
      </c>
      <c r="AN15" s="231">
        <v>69.122900000000001</v>
      </c>
      <c r="AO15" s="231">
        <v>71.084000000000003</v>
      </c>
      <c r="AP15" s="231">
        <v>72.02</v>
      </c>
      <c r="AQ15" s="231">
        <v>73.884</v>
      </c>
      <c r="AR15" s="231">
        <v>73.84</v>
      </c>
      <c r="AS15" s="231">
        <v>74.229400000000012</v>
      </c>
      <c r="AT15" s="231">
        <v>74.820000000000007</v>
      </c>
      <c r="AU15" s="231">
        <v>76.612200000000001</v>
      </c>
      <c r="AV15" s="231">
        <v>77.882400000000004</v>
      </c>
      <c r="AW15" s="231">
        <v>79.147500000000008</v>
      </c>
      <c r="AX15" s="231">
        <v>80.34</v>
      </c>
      <c r="AY15" s="216">
        <f>AX15/AU15-1</f>
        <v>4.8658046629649121E-2</v>
      </c>
    </row>
    <row r="16" spans="2:51">
      <c r="B16" s="231" t="s">
        <v>49</v>
      </c>
      <c r="C16" s="231">
        <v>10.717700000000001</v>
      </c>
      <c r="D16" s="231">
        <v>11.531599999999999</v>
      </c>
      <c r="E16" s="231">
        <v>11.884024999999999</v>
      </c>
      <c r="F16" s="231">
        <v>12.091925</v>
      </c>
      <c r="G16" s="231">
        <v>11.980399999999999</v>
      </c>
      <c r="H16" s="231">
        <v>12.453749999999999</v>
      </c>
      <c r="I16" s="231">
        <v>12.709199999999999</v>
      </c>
      <c r="J16" s="231">
        <v>13.4794</v>
      </c>
      <c r="K16" s="231">
        <v>14.264100000000001</v>
      </c>
      <c r="L16" s="231">
        <v>14.9322</v>
      </c>
      <c r="M16" s="231">
        <v>15.375</v>
      </c>
      <c r="N16" s="231">
        <v>15.8</v>
      </c>
      <c r="O16" s="231">
        <v>16.252599999999997</v>
      </c>
      <c r="P16" s="231">
        <v>17.513999999999999</v>
      </c>
      <c r="Q16" s="231">
        <v>18.487500000000001</v>
      </c>
      <c r="R16" s="231">
        <v>19.396000000000001</v>
      </c>
      <c r="S16" s="231">
        <v>20.428799999999999</v>
      </c>
      <c r="T16" s="231">
        <v>20.881</v>
      </c>
      <c r="U16" s="231">
        <v>22.194000000000003</v>
      </c>
      <c r="V16" s="231">
        <v>23.0685</v>
      </c>
      <c r="W16" s="231">
        <v>23.947599999999998</v>
      </c>
      <c r="X16" s="231">
        <v>25.290000000000003</v>
      </c>
      <c r="Y16" s="231">
        <v>26.2318</v>
      </c>
      <c r="Z16" s="231">
        <v>28.978400000000004</v>
      </c>
      <c r="AA16" s="231">
        <v>29.5</v>
      </c>
      <c r="AB16" s="231">
        <v>31.407999999999998</v>
      </c>
      <c r="AC16" s="231">
        <v>32.542000000000002</v>
      </c>
      <c r="AD16" s="231">
        <v>33.597999999999999</v>
      </c>
      <c r="AE16" s="231">
        <v>35.090000000000003</v>
      </c>
      <c r="AF16" s="231">
        <v>36.288000000000004</v>
      </c>
      <c r="AG16" s="231">
        <v>38.075999999999993</v>
      </c>
      <c r="AH16" s="231">
        <v>39.959500000000006</v>
      </c>
      <c r="AI16" s="231">
        <v>40.919899999999998</v>
      </c>
      <c r="AJ16" s="231">
        <v>41.605899999999998</v>
      </c>
      <c r="AK16" s="231">
        <v>43.154999999999994</v>
      </c>
      <c r="AL16" s="231">
        <v>45.701700000000002</v>
      </c>
      <c r="AM16" s="231">
        <v>48.913200000000003</v>
      </c>
      <c r="AN16" s="231">
        <v>52.009299999999996</v>
      </c>
      <c r="AO16" s="231">
        <v>53.312999999999995</v>
      </c>
      <c r="AP16" s="231">
        <v>54.292000000000002</v>
      </c>
      <c r="AQ16" s="231">
        <v>55.272000000000006</v>
      </c>
      <c r="AR16" s="231">
        <v>56.658000000000001</v>
      </c>
      <c r="AS16" s="231">
        <v>57.893200000000007</v>
      </c>
      <c r="AT16" s="231">
        <v>59.014999999999993</v>
      </c>
      <c r="AU16" s="231">
        <v>60.047400000000003</v>
      </c>
      <c r="AV16" s="231">
        <v>60.575200000000002</v>
      </c>
      <c r="AW16" s="231">
        <v>62.83</v>
      </c>
      <c r="AX16" s="231">
        <v>65.207999999999998</v>
      </c>
      <c r="AY16" s="216">
        <f>AX16/AU16-1</f>
        <v>8.5942105736468211E-2</v>
      </c>
    </row>
    <row r="17" spans="2:51">
      <c r="B17" s="231" t="s">
        <v>29</v>
      </c>
      <c r="C17" s="231">
        <v>18.361000000000001</v>
      </c>
      <c r="D17" s="231">
        <v>19.113399999999999</v>
      </c>
      <c r="E17" s="231">
        <v>19.697537499999999</v>
      </c>
      <c r="F17" s="231">
        <v>19.799924999999998</v>
      </c>
      <c r="G17" s="231">
        <v>20.474699999999999</v>
      </c>
      <c r="H17" s="231">
        <v>20.55125</v>
      </c>
      <c r="I17" s="231">
        <v>20.9862</v>
      </c>
      <c r="J17" s="231">
        <v>20.943200000000001</v>
      </c>
      <c r="K17" s="231">
        <v>21.895099999999999</v>
      </c>
      <c r="L17" s="231">
        <v>21.730599999999999</v>
      </c>
      <c r="M17" s="231">
        <v>20.602500000000003</v>
      </c>
      <c r="N17" s="231">
        <v>19.9712</v>
      </c>
      <c r="O17" s="231">
        <v>20.0032</v>
      </c>
      <c r="P17" s="231">
        <v>20.0855</v>
      </c>
      <c r="Q17" s="231">
        <v>19.647500000000001</v>
      </c>
      <c r="R17" s="231">
        <v>19.1722</v>
      </c>
      <c r="S17" s="231">
        <v>18.9696</v>
      </c>
      <c r="T17" s="231">
        <v>18.369</v>
      </c>
      <c r="U17" s="231">
        <v>17.837399999999999</v>
      </c>
      <c r="V17" s="231">
        <v>16.6465</v>
      </c>
      <c r="W17" s="231">
        <v>16.518599999999999</v>
      </c>
      <c r="X17" s="231">
        <v>15.479999999999999</v>
      </c>
      <c r="Y17" s="231">
        <v>15.172400000000001</v>
      </c>
      <c r="Z17" s="231">
        <v>15.664000000000001</v>
      </c>
      <c r="AA17" s="231">
        <v>15.2</v>
      </c>
      <c r="AB17" s="231">
        <v>13.936</v>
      </c>
      <c r="AC17" s="231">
        <v>13.038</v>
      </c>
      <c r="AD17" s="231">
        <v>12.412000000000001</v>
      </c>
      <c r="AE17" s="231">
        <v>12.540000000000001</v>
      </c>
      <c r="AF17" s="231">
        <v>11.984</v>
      </c>
      <c r="AG17" s="231">
        <v>10.83</v>
      </c>
      <c r="AH17" s="231">
        <v>9.6695000000000011</v>
      </c>
      <c r="AI17" s="231">
        <v>10.0212</v>
      </c>
      <c r="AJ17" s="231">
        <v>9.4613999999999994</v>
      </c>
      <c r="AK17" s="231">
        <v>9.0008999999999997</v>
      </c>
      <c r="AL17" s="231">
        <v>8.0576000000000008</v>
      </c>
      <c r="AM17" s="231">
        <v>7.6345999999999998</v>
      </c>
      <c r="AN17" s="231">
        <v>7.2197999999999993</v>
      </c>
      <c r="AO17" s="231">
        <v>7.1083999999999987</v>
      </c>
      <c r="AP17" s="231">
        <v>7.0634999999999994</v>
      </c>
      <c r="AQ17" s="231">
        <v>6.7679999999999998</v>
      </c>
      <c r="AR17" s="231">
        <v>6.2479999999999993</v>
      </c>
      <c r="AS17" s="231">
        <v>6.1619000000000002</v>
      </c>
      <c r="AT17" s="231">
        <v>5.8</v>
      </c>
      <c r="AU17" s="231">
        <v>5.6201999999999996</v>
      </c>
      <c r="AV17" s="231">
        <v>5.3711999999999991</v>
      </c>
      <c r="AW17" s="231">
        <v>5.3375000000000004</v>
      </c>
      <c r="AX17" s="231">
        <v>5.3040000000000003</v>
      </c>
      <c r="AY17" s="216">
        <f t="shared" ref="AY17:AY19" si="0">AX17/AU17-1</f>
        <v>-5.6261343012704024E-2</v>
      </c>
    </row>
    <row r="18" spans="2:51">
      <c r="B18" s="231" t="s">
        <v>353</v>
      </c>
      <c r="C18" s="231">
        <v>6.7039000000000009</v>
      </c>
      <c r="D18" s="231">
        <v>6.8553999999999995</v>
      </c>
      <c r="E18" s="231">
        <v>7.0649124999999993</v>
      </c>
      <c r="F18" s="231">
        <v>6.7445000000000004</v>
      </c>
      <c r="G18" s="231">
        <v>6.4812000000000003</v>
      </c>
      <c r="H18" s="231">
        <v>6.5600000000000005</v>
      </c>
      <c r="I18" s="231">
        <v>6.3011999999999997</v>
      </c>
      <c r="J18" s="231">
        <v>6.0156000000000001</v>
      </c>
      <c r="K18" s="231">
        <v>5.870000000000001</v>
      </c>
      <c r="L18" s="231">
        <v>5.8879000000000001</v>
      </c>
      <c r="M18" s="231">
        <v>5.5350000000000001</v>
      </c>
      <c r="N18" s="231">
        <v>5.3088000000000006</v>
      </c>
      <c r="O18" s="231">
        <v>5.2640000000000002</v>
      </c>
      <c r="P18" s="231">
        <v>5.3514999999999997</v>
      </c>
      <c r="Q18" s="231">
        <v>5.4375</v>
      </c>
      <c r="R18" s="231">
        <v>4.9981999999999998</v>
      </c>
      <c r="S18" s="231">
        <v>4.4543999999999997</v>
      </c>
      <c r="T18" s="231">
        <v>4.5529999999999999</v>
      </c>
      <c r="U18" s="231">
        <v>4.6854000000000005</v>
      </c>
      <c r="V18" s="231">
        <v>4.8165000000000004</v>
      </c>
      <c r="W18" s="231">
        <v>4.8944000000000001</v>
      </c>
      <c r="X18" s="231">
        <v>4.8600000000000003</v>
      </c>
      <c r="Y18" s="231">
        <v>4.7527999999999997</v>
      </c>
      <c r="Z18" s="231">
        <v>4.6013000000000002</v>
      </c>
      <c r="AA18" s="231">
        <v>4.3999999999999995</v>
      </c>
      <c r="AB18" s="231">
        <v>4.056</v>
      </c>
      <c r="AC18" s="231">
        <v>4.1340000000000003</v>
      </c>
      <c r="AD18" s="231">
        <v>4.28</v>
      </c>
      <c r="AE18" s="231">
        <v>4.4000000000000004</v>
      </c>
      <c r="AF18" s="231">
        <v>4.2560000000000002</v>
      </c>
      <c r="AG18" s="231">
        <v>4.1040000000000001</v>
      </c>
      <c r="AH18" s="231">
        <v>4.1940000000000008</v>
      </c>
      <c r="AI18" s="231">
        <v>4.2948000000000004</v>
      </c>
      <c r="AJ18" s="231">
        <v>3.8816000000000002</v>
      </c>
      <c r="AK18" s="231">
        <v>3.6989999999999998</v>
      </c>
      <c r="AL18" s="231">
        <v>3.6511000000000005</v>
      </c>
      <c r="AM18" s="231">
        <v>4.0114000000000001</v>
      </c>
      <c r="AN18" s="231">
        <v>4.2783999999999995</v>
      </c>
      <c r="AO18" s="231">
        <v>4.1009999999999991</v>
      </c>
      <c r="AP18" s="231">
        <v>4.1550000000000002</v>
      </c>
      <c r="AQ18" s="231">
        <v>4.2299999999999995</v>
      </c>
      <c r="AR18" s="231">
        <v>4.4020000000000001</v>
      </c>
      <c r="AS18" s="231">
        <v>4.2990000000000004</v>
      </c>
      <c r="AT18" s="231">
        <v>4.6399999999999997</v>
      </c>
      <c r="AU18" s="231">
        <v>4.8807</v>
      </c>
      <c r="AV18" s="231">
        <v>4.7744</v>
      </c>
      <c r="AW18" s="231">
        <v>4.7275</v>
      </c>
      <c r="AX18" s="231">
        <v>4.8360000000000003</v>
      </c>
      <c r="AY18" s="216">
        <f t="shared" si="0"/>
        <v>-9.1585223431064344E-3</v>
      </c>
    </row>
    <row r="19" spans="2:51">
      <c r="B19" s="231" t="s">
        <v>39</v>
      </c>
      <c r="C19" s="231">
        <v>3.885699999999999</v>
      </c>
      <c r="D19" s="231">
        <v>3.8136000000000032</v>
      </c>
      <c r="E19" s="231">
        <v>3.930149999999998</v>
      </c>
      <c r="F19" s="231">
        <v>3.7576499999999977</v>
      </c>
      <c r="G19" s="231">
        <v>3.7807000000000035</v>
      </c>
      <c r="H19" s="231">
        <v>4.0487499999999983</v>
      </c>
      <c r="I19" s="231">
        <v>4.3253999999999975</v>
      </c>
      <c r="J19" s="231">
        <v>4.344599999999998</v>
      </c>
      <c r="K19" s="231">
        <v>4.1090000000000035</v>
      </c>
      <c r="L19" s="231">
        <v>3.8848000000000038</v>
      </c>
      <c r="M19" s="231">
        <v>3.9975000000000036</v>
      </c>
      <c r="N19" s="231">
        <v>3.9816000000000038</v>
      </c>
      <c r="O19" s="231">
        <v>3.750600000000003</v>
      </c>
      <c r="P19" s="231">
        <v>3.6140000000000034</v>
      </c>
      <c r="Q19" s="231">
        <v>3.7699999999999951</v>
      </c>
      <c r="R19" s="231">
        <v>3.8792000000000031</v>
      </c>
      <c r="S19" s="231">
        <v>3.6863999999999946</v>
      </c>
      <c r="T19" s="231">
        <v>3.2184999999999944</v>
      </c>
      <c r="U19" s="231">
        <v>3.1236000000000028</v>
      </c>
      <c r="V19" s="231">
        <v>3.0419999999999932</v>
      </c>
      <c r="W19" s="231">
        <v>2.8842000000000123</v>
      </c>
      <c r="X19" s="231">
        <v>2.7000000000000024</v>
      </c>
      <c r="Y19" s="231">
        <v>2.3763999999999923</v>
      </c>
      <c r="Z19" s="231">
        <v>2.3495999999999913</v>
      </c>
      <c r="AA19" s="231">
        <v>2.300000000000002</v>
      </c>
      <c r="AB19" s="231">
        <v>2.4960000000000022</v>
      </c>
      <c r="AC19" s="231">
        <v>2.2260000000000018</v>
      </c>
      <c r="AD19" s="231">
        <v>2.3539999999999903</v>
      </c>
      <c r="AE19" s="231">
        <v>1.9799999999999895</v>
      </c>
      <c r="AF19" s="231">
        <v>1.6799999999999891</v>
      </c>
      <c r="AG19" s="231">
        <v>1.4820000000000013</v>
      </c>
      <c r="AH19" s="231">
        <v>1.3980000000000012</v>
      </c>
      <c r="AI19" s="231">
        <v>1.4316000000000013</v>
      </c>
      <c r="AJ19" s="231">
        <v>1.3343000000000012</v>
      </c>
      <c r="AK19" s="231">
        <v>1.233000000000001</v>
      </c>
      <c r="AL19" s="231">
        <v>1.2589999999999872</v>
      </c>
      <c r="AM19" s="231">
        <v>1.1646000000000012</v>
      </c>
      <c r="AN19" s="231">
        <v>1.0695999999999861</v>
      </c>
      <c r="AO19" s="231">
        <v>1.0935999999999857</v>
      </c>
      <c r="AP19" s="231">
        <v>0.96949999999998548</v>
      </c>
      <c r="AQ19" s="231">
        <v>0.8459999999999851</v>
      </c>
      <c r="AR19" s="231">
        <v>0.85199999999999998</v>
      </c>
      <c r="AS19" s="231">
        <v>0.42990000000000006</v>
      </c>
      <c r="AT19" s="231">
        <v>0.435</v>
      </c>
      <c r="AU19" s="231">
        <v>0.44370000000000004</v>
      </c>
      <c r="AV19" s="231">
        <v>0.2984</v>
      </c>
      <c r="AW19" s="231">
        <v>0.30499999999999999</v>
      </c>
      <c r="AX19" s="231">
        <v>0.312</v>
      </c>
      <c r="AY19" s="216">
        <f t="shared" si="0"/>
        <v>-0.29682217714672077</v>
      </c>
    </row>
    <row r="20" spans="2:51">
      <c r="AR20" s="216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opLeftCell="I1" workbookViewId="0">
      <selection activeCell="AB18" sqref="AB18"/>
    </sheetView>
  </sheetViews>
  <sheetFormatPr baseColWidth="10" defaultRowHeight="15" x14ac:dyDescent="0"/>
  <cols>
    <col min="1" max="1" width="13.33203125" style="232" bestFit="1" customWidth="1"/>
    <col min="2" max="2" width="13.83203125" style="232" bestFit="1" customWidth="1"/>
    <col min="3" max="7" width="10.83203125" style="233"/>
    <col min="8" max="16384" width="10.83203125" style="232"/>
  </cols>
  <sheetData>
    <row r="1" spans="1:9">
      <c r="A1" s="248" t="s">
        <v>506</v>
      </c>
      <c r="B1" s="248"/>
      <c r="C1" s="248"/>
      <c r="D1" s="248"/>
      <c r="E1" s="248"/>
      <c r="F1" s="248"/>
      <c r="G1" s="248"/>
    </row>
    <row r="2" spans="1:9">
      <c r="C2" s="233" t="s">
        <v>21</v>
      </c>
      <c r="D2" s="233" t="s">
        <v>187</v>
      </c>
      <c r="E2" s="233" t="s">
        <v>23</v>
      </c>
      <c r="F2" s="233" t="s">
        <v>24</v>
      </c>
      <c r="G2" s="233" t="s">
        <v>25</v>
      </c>
      <c r="H2" s="233" t="s">
        <v>26</v>
      </c>
      <c r="I2" s="232" t="s">
        <v>27</v>
      </c>
    </row>
    <row r="3" spans="1:9">
      <c r="A3" s="232" t="s">
        <v>454</v>
      </c>
      <c r="C3" s="233">
        <v>0.2656</v>
      </c>
      <c r="D3" s="233">
        <v>0.16789999999999999</v>
      </c>
      <c r="E3" s="233">
        <v>0.29970000000000002</v>
      </c>
      <c r="F3" s="233">
        <v>0.26719999999999999</v>
      </c>
      <c r="G3" s="233">
        <v>0.28079999999999999</v>
      </c>
      <c r="H3" s="233">
        <v>0.27729999999999999</v>
      </c>
      <c r="I3" s="232">
        <v>0.31730000000000003</v>
      </c>
    </row>
    <row r="4" spans="1:9">
      <c r="B4" s="232" t="s">
        <v>507</v>
      </c>
      <c r="F4" s="233">
        <v>0.26240000000000002</v>
      </c>
      <c r="G4" s="233">
        <v>0.27760000000000001</v>
      </c>
      <c r="H4" s="233">
        <v>0.2727</v>
      </c>
      <c r="I4" s="232">
        <v>0.30070000000000002</v>
      </c>
    </row>
    <row r="5" spans="1:9">
      <c r="B5" s="232" t="s">
        <v>81</v>
      </c>
      <c r="F5" s="233">
        <v>4.8999999999999998E-3</v>
      </c>
      <c r="G5" s="233">
        <v>3.2000000000000002E-3</v>
      </c>
      <c r="H5" s="233">
        <v>4.5999999999999999E-3</v>
      </c>
      <c r="I5" s="232">
        <v>0.16700000000000001</v>
      </c>
    </row>
    <row r="6" spans="1:9">
      <c r="A6" s="232" t="s">
        <v>452</v>
      </c>
      <c r="C6" s="233">
        <v>0.61409999999999998</v>
      </c>
      <c r="D6" s="233">
        <v>0.58399999999999996</v>
      </c>
      <c r="E6" s="233">
        <v>0.51019999999999999</v>
      </c>
      <c r="F6" s="233">
        <v>0.49230000000000002</v>
      </c>
      <c r="G6" s="233">
        <v>0.49359999999999998</v>
      </c>
      <c r="H6" s="233">
        <v>0.49530000000000002</v>
      </c>
      <c r="I6" s="232">
        <v>0.55700000000000005</v>
      </c>
    </row>
    <row r="7" spans="1:9">
      <c r="B7" s="232" t="s">
        <v>445</v>
      </c>
      <c r="C7" s="233">
        <v>0.43540000000000001</v>
      </c>
      <c r="D7" s="233">
        <v>0.34379999999999999</v>
      </c>
      <c r="E7" s="233">
        <v>0.37280000000000002</v>
      </c>
      <c r="F7" s="233">
        <v>0.34239999999999998</v>
      </c>
      <c r="G7" s="233">
        <v>0.3644</v>
      </c>
      <c r="H7" s="233">
        <v>0.3639</v>
      </c>
      <c r="I7" s="232">
        <v>0.40029999999999999</v>
      </c>
    </row>
    <row r="8" spans="1:9">
      <c r="B8" s="232" t="s">
        <v>440</v>
      </c>
      <c r="C8" s="233">
        <v>0.1426</v>
      </c>
      <c r="D8" s="233">
        <v>0.1719</v>
      </c>
      <c r="E8" s="233">
        <v>0.10489999999999999</v>
      </c>
      <c r="F8" s="233">
        <v>0.126</v>
      </c>
      <c r="G8" s="233">
        <v>0.1021</v>
      </c>
      <c r="H8" s="233">
        <v>0.1033</v>
      </c>
      <c r="I8" s="232">
        <v>0.127</v>
      </c>
    </row>
    <row r="9" spans="1:9">
      <c r="B9" s="232" t="s">
        <v>508</v>
      </c>
      <c r="D9" s="233">
        <v>6.83E-2</v>
      </c>
      <c r="E9" s="233">
        <v>3.2599999999999997E-2</v>
      </c>
      <c r="F9" s="233">
        <v>2.3800000000000002E-2</v>
      </c>
      <c r="G9" s="233">
        <v>2.7099999999999999E-2</v>
      </c>
      <c r="H9" s="233">
        <v>2.8000000000000001E-2</v>
      </c>
      <c r="I9" s="232">
        <v>2.8000000000000001E-2</v>
      </c>
    </row>
    <row r="10" spans="1:9">
      <c r="A10" s="232" t="s">
        <v>509</v>
      </c>
      <c r="C10" s="233">
        <v>1.7899999999999999E-2</v>
      </c>
      <c r="D10" s="233">
        <v>4.1500000000000002E-2</v>
      </c>
      <c r="E10" s="233">
        <v>4.1200000000000001E-2</v>
      </c>
      <c r="F10" s="233">
        <v>6.1899999999999997E-2</v>
      </c>
      <c r="G10" s="233">
        <v>5.4100000000000002E-2</v>
      </c>
      <c r="H10" s="233">
        <v>4.3299999999999998E-2</v>
      </c>
      <c r="I10" s="232">
        <v>1.35E-2</v>
      </c>
    </row>
    <row r="11" spans="1:9">
      <c r="A11" s="232" t="s">
        <v>435</v>
      </c>
      <c r="C11" s="233">
        <v>3.7000000000000002E-3</v>
      </c>
      <c r="D11" s="233">
        <v>9.9000000000000008E-3</v>
      </c>
      <c r="E11" s="233">
        <v>1.6899999999999998E-2</v>
      </c>
      <c r="F11" s="233">
        <v>2.46E-2</v>
      </c>
      <c r="G11" s="233">
        <v>1.5900000000000001E-2</v>
      </c>
      <c r="H11" s="233">
        <v>1.21E-2</v>
      </c>
      <c r="I11" s="232">
        <v>8.3999999999999995E-3</v>
      </c>
    </row>
    <row r="12" spans="1:9">
      <c r="A12" s="232" t="s">
        <v>426</v>
      </c>
      <c r="C12" s="233">
        <v>1E-4</v>
      </c>
      <c r="G12" s="233">
        <v>3.0000000000000001E-3</v>
      </c>
      <c r="H12" s="233">
        <v>3.3999999999999998E-3</v>
      </c>
      <c r="I12" s="232">
        <v>3.5000000000000001E-3</v>
      </c>
    </row>
    <row r="13" spans="1:9">
      <c r="A13" s="232" t="s">
        <v>39</v>
      </c>
      <c r="C13" s="233">
        <v>9.8599999999999993E-2</v>
      </c>
      <c r="D13" s="233">
        <v>0.19670000000000001</v>
      </c>
      <c r="E13" s="233">
        <v>0.13200000000000001</v>
      </c>
      <c r="F13" s="233">
        <v>0.15390000000000001</v>
      </c>
      <c r="G13" s="233">
        <v>0.1527</v>
      </c>
      <c r="H13" s="233">
        <v>0.1686</v>
      </c>
      <c r="I13" s="232">
        <v>0.1003</v>
      </c>
    </row>
    <row r="14" spans="1:9">
      <c r="G14" s="233">
        <f>SUM(G3+G6+G11+G12+G13+G10)</f>
        <v>1.0001</v>
      </c>
    </row>
    <row r="15" spans="1:9">
      <c r="H15" s="233"/>
    </row>
    <row r="16" spans="1:9">
      <c r="A16" s="248" t="s">
        <v>510</v>
      </c>
      <c r="B16" s="248"/>
      <c r="C16" s="248"/>
      <c r="D16" s="248"/>
      <c r="E16" s="248"/>
      <c r="F16" s="248"/>
      <c r="G16" s="248"/>
    </row>
    <row r="17" spans="1:9">
      <c r="A17" s="234"/>
      <c r="B17" s="234"/>
      <c r="C17" s="235" t="s">
        <v>21</v>
      </c>
      <c r="D17" s="235" t="s">
        <v>187</v>
      </c>
      <c r="E17" s="235" t="s">
        <v>23</v>
      </c>
      <c r="F17" s="235" t="s">
        <v>24</v>
      </c>
      <c r="G17" s="235" t="s">
        <v>25</v>
      </c>
      <c r="H17" s="235" t="s">
        <v>26</v>
      </c>
    </row>
    <row r="18" spans="1:9">
      <c r="A18" s="234"/>
      <c r="B18" s="234" t="s">
        <v>511</v>
      </c>
      <c r="C18" s="235">
        <v>0.2656</v>
      </c>
      <c r="D18" s="235">
        <v>0.16789999999999999</v>
      </c>
      <c r="E18" s="235">
        <v>0.29970000000000002</v>
      </c>
      <c r="F18" s="235">
        <v>0.26240000000000002</v>
      </c>
      <c r="G18" s="235">
        <v>0.27760000000000001</v>
      </c>
      <c r="H18" s="235">
        <f>H4</f>
        <v>0.2727</v>
      </c>
    </row>
    <row r="19" spans="1:9">
      <c r="A19" s="234"/>
      <c r="B19" s="234" t="s">
        <v>445</v>
      </c>
      <c r="C19" s="235">
        <v>0.43540000000000001</v>
      </c>
      <c r="D19" s="235">
        <v>0.34379999999999999</v>
      </c>
      <c r="E19" s="235">
        <v>0.37280000000000002</v>
      </c>
      <c r="F19" s="235">
        <v>0.34239999999999998</v>
      </c>
      <c r="G19" s="235">
        <v>0.3644</v>
      </c>
      <c r="H19" s="235">
        <f>H7</f>
        <v>0.3639</v>
      </c>
    </row>
    <row r="20" spans="1:9">
      <c r="A20" s="234"/>
      <c r="B20" s="234" t="s">
        <v>512</v>
      </c>
      <c r="C20" s="235">
        <f t="shared" ref="C20:H20" si="0">C30+C31</f>
        <v>0.1426</v>
      </c>
      <c r="D20" s="235">
        <f t="shared" si="0"/>
        <v>0.1719</v>
      </c>
      <c r="E20" s="235">
        <f t="shared" si="0"/>
        <v>0.10489999999999999</v>
      </c>
      <c r="F20" s="235">
        <f t="shared" si="0"/>
        <v>0.13089999999999999</v>
      </c>
      <c r="G20" s="235">
        <f t="shared" si="0"/>
        <v>0.10529999999999999</v>
      </c>
      <c r="H20" s="235">
        <f t="shared" si="0"/>
        <v>0.1079</v>
      </c>
    </row>
    <row r="21" spans="1:9">
      <c r="A21" s="234"/>
      <c r="B21" s="234" t="s">
        <v>39</v>
      </c>
      <c r="C21" s="235">
        <f t="shared" ref="C21:H21" si="1">C29+C27+C26+C25+C28</f>
        <v>0.12029999999999999</v>
      </c>
      <c r="D21" s="235">
        <f t="shared" si="1"/>
        <v>0.31640000000000001</v>
      </c>
      <c r="E21" s="235">
        <f t="shared" si="1"/>
        <v>0.22270000000000001</v>
      </c>
      <c r="F21" s="235">
        <f t="shared" si="1"/>
        <v>0.26420000000000005</v>
      </c>
      <c r="G21" s="235">
        <f t="shared" si="1"/>
        <v>0.25280000000000002</v>
      </c>
      <c r="H21" s="235">
        <f t="shared" si="1"/>
        <v>0.25540000000000002</v>
      </c>
    </row>
    <row r="22" spans="1:9">
      <c r="A22" s="234"/>
      <c r="B22" s="234"/>
      <c r="C22" s="235"/>
      <c r="D22" s="235"/>
      <c r="E22" s="235"/>
      <c r="F22" s="235"/>
      <c r="G22" s="235"/>
      <c r="H22" s="234"/>
    </row>
    <row r="23" spans="1:9">
      <c r="A23" s="234"/>
      <c r="B23" s="234"/>
      <c r="C23" s="235"/>
      <c r="D23" s="235"/>
      <c r="E23" s="235"/>
      <c r="F23" s="235"/>
      <c r="G23" s="235"/>
      <c r="H23" s="234"/>
    </row>
    <row r="24" spans="1:9">
      <c r="A24" s="234"/>
      <c r="B24" s="234"/>
      <c r="C24" s="235" t="s">
        <v>21</v>
      </c>
      <c r="D24" s="235" t="s">
        <v>187</v>
      </c>
      <c r="E24" s="235" t="s">
        <v>23</v>
      </c>
      <c r="F24" s="235" t="s">
        <v>24</v>
      </c>
      <c r="G24" s="235" t="s">
        <v>25</v>
      </c>
      <c r="H24" s="235" t="s">
        <v>26</v>
      </c>
      <c r="I24" s="232" t="s">
        <v>27</v>
      </c>
    </row>
    <row r="25" spans="1:9">
      <c r="A25" s="234" t="s">
        <v>509</v>
      </c>
      <c r="B25" s="234"/>
      <c r="C25" s="235">
        <f t="shared" ref="C25:G26" si="2">C10</f>
        <v>1.7899999999999999E-2</v>
      </c>
      <c r="D25" s="235">
        <f t="shared" si="2"/>
        <v>4.1500000000000002E-2</v>
      </c>
      <c r="E25" s="235">
        <f t="shared" si="2"/>
        <v>4.1200000000000001E-2</v>
      </c>
      <c r="F25" s="235">
        <f t="shared" si="2"/>
        <v>6.1899999999999997E-2</v>
      </c>
      <c r="G25" s="235">
        <f t="shared" si="2"/>
        <v>5.4100000000000002E-2</v>
      </c>
      <c r="H25" s="235">
        <f>H10</f>
        <v>4.3299999999999998E-2</v>
      </c>
      <c r="I25" s="235">
        <f>I10</f>
        <v>1.35E-2</v>
      </c>
    </row>
    <row r="26" spans="1:9">
      <c r="A26" s="234" t="s">
        <v>435</v>
      </c>
      <c r="B26" s="234"/>
      <c r="C26" s="235">
        <f t="shared" si="2"/>
        <v>3.7000000000000002E-3</v>
      </c>
      <c r="D26" s="235">
        <f t="shared" si="2"/>
        <v>9.9000000000000008E-3</v>
      </c>
      <c r="E26" s="235">
        <f t="shared" si="2"/>
        <v>1.6899999999999998E-2</v>
      </c>
      <c r="F26" s="235">
        <f t="shared" si="2"/>
        <v>2.46E-2</v>
      </c>
      <c r="G26" s="235">
        <f t="shared" si="2"/>
        <v>1.5900000000000001E-2</v>
      </c>
      <c r="H26" s="235">
        <f>H11</f>
        <v>1.21E-2</v>
      </c>
      <c r="I26" s="235">
        <f>I11</f>
        <v>8.3999999999999995E-3</v>
      </c>
    </row>
    <row r="27" spans="1:9">
      <c r="A27" s="234" t="s">
        <v>508</v>
      </c>
      <c r="B27" s="234"/>
      <c r="C27" s="235"/>
      <c r="D27" s="235">
        <f t="shared" ref="D27:G27" si="3">D9</f>
        <v>6.83E-2</v>
      </c>
      <c r="E27" s="235">
        <f t="shared" si="3"/>
        <v>3.2599999999999997E-2</v>
      </c>
      <c r="F27" s="235">
        <f t="shared" si="3"/>
        <v>2.3800000000000002E-2</v>
      </c>
      <c r="G27" s="235">
        <f t="shared" si="3"/>
        <v>2.7099999999999999E-2</v>
      </c>
      <c r="H27" s="235">
        <f>H9</f>
        <v>2.8000000000000001E-2</v>
      </c>
      <c r="I27" s="235">
        <f>I9</f>
        <v>2.8000000000000001E-2</v>
      </c>
    </row>
    <row r="28" spans="1:9">
      <c r="A28" s="234" t="s">
        <v>426</v>
      </c>
      <c r="B28" s="234"/>
      <c r="C28" s="235">
        <f t="shared" ref="C28:G29" si="4">C12</f>
        <v>1E-4</v>
      </c>
      <c r="D28" s="235"/>
      <c r="E28" s="235"/>
      <c r="F28" s="235"/>
      <c r="G28" s="235">
        <f t="shared" si="4"/>
        <v>3.0000000000000001E-3</v>
      </c>
      <c r="H28" s="235">
        <f>H12</f>
        <v>3.3999999999999998E-3</v>
      </c>
      <c r="I28" s="235">
        <f>I12</f>
        <v>3.5000000000000001E-3</v>
      </c>
    </row>
    <row r="29" spans="1:9">
      <c r="A29" s="234" t="s">
        <v>39</v>
      </c>
      <c r="B29" s="234"/>
      <c r="C29" s="235">
        <f t="shared" si="4"/>
        <v>9.8599999999999993E-2</v>
      </c>
      <c r="D29" s="235">
        <f t="shared" si="4"/>
        <v>0.19670000000000001</v>
      </c>
      <c r="E29" s="235">
        <f t="shared" si="4"/>
        <v>0.13200000000000001</v>
      </c>
      <c r="F29" s="235">
        <f t="shared" si="4"/>
        <v>0.15390000000000001</v>
      </c>
      <c r="G29" s="235">
        <f t="shared" si="4"/>
        <v>0.1527</v>
      </c>
      <c r="H29" s="235">
        <f>H13</f>
        <v>0.1686</v>
      </c>
      <c r="I29" s="235">
        <f>I13</f>
        <v>0.1003</v>
      </c>
    </row>
    <row r="30" spans="1:9">
      <c r="A30" s="234" t="s">
        <v>513</v>
      </c>
      <c r="B30" s="234"/>
      <c r="C30" s="235"/>
      <c r="D30" s="235"/>
      <c r="E30" s="235"/>
      <c r="F30" s="235">
        <f t="shared" ref="F30:G30" si="5">F5</f>
        <v>4.8999999999999998E-3</v>
      </c>
      <c r="G30" s="235">
        <f t="shared" si="5"/>
        <v>3.2000000000000002E-3</v>
      </c>
      <c r="H30" s="235">
        <f>H5</f>
        <v>4.5999999999999999E-3</v>
      </c>
      <c r="I30" s="235">
        <f>I5</f>
        <v>0.16700000000000001</v>
      </c>
    </row>
    <row r="31" spans="1:9">
      <c r="A31" s="234" t="s">
        <v>440</v>
      </c>
      <c r="B31" s="234"/>
      <c r="C31" s="235">
        <f t="shared" ref="C31:G31" si="6">C8</f>
        <v>0.1426</v>
      </c>
      <c r="D31" s="235">
        <f t="shared" si="6"/>
        <v>0.1719</v>
      </c>
      <c r="E31" s="235">
        <f t="shared" si="6"/>
        <v>0.10489999999999999</v>
      </c>
      <c r="F31" s="235">
        <f t="shared" si="6"/>
        <v>0.126</v>
      </c>
      <c r="G31" s="235">
        <f t="shared" si="6"/>
        <v>0.1021</v>
      </c>
      <c r="H31" s="235">
        <f>H8</f>
        <v>0.1033</v>
      </c>
      <c r="I31" s="235">
        <f>I8</f>
        <v>0.127</v>
      </c>
    </row>
    <row r="35" spans="1:9">
      <c r="A35" s="248" t="s">
        <v>514</v>
      </c>
      <c r="B35" s="248"/>
      <c r="C35" s="248"/>
      <c r="D35" s="248"/>
      <c r="E35" s="248"/>
      <c r="F35" s="248"/>
      <c r="G35" s="248"/>
    </row>
    <row r="36" spans="1:9">
      <c r="C36" s="233" t="s">
        <v>21</v>
      </c>
      <c r="D36" s="233" t="s">
        <v>187</v>
      </c>
      <c r="E36" s="233" t="s">
        <v>23</v>
      </c>
      <c r="F36" s="233" t="s">
        <v>24</v>
      </c>
      <c r="G36" s="233" t="s">
        <v>25</v>
      </c>
      <c r="H36" s="233" t="s">
        <v>26</v>
      </c>
      <c r="I36" s="232" t="s">
        <v>27</v>
      </c>
    </row>
    <row r="37" spans="1:9">
      <c r="A37" s="232" t="s">
        <v>454</v>
      </c>
      <c r="C37" s="233">
        <v>0.24429999999999999</v>
      </c>
      <c r="D37" s="233">
        <v>0.25659999999999999</v>
      </c>
      <c r="E37" s="233">
        <v>0.30940000000000001</v>
      </c>
      <c r="F37" s="233">
        <v>0.31259999999999999</v>
      </c>
      <c r="G37" s="233">
        <v>0.31240000000000001</v>
      </c>
      <c r="H37" s="233">
        <v>0.31319999999999998</v>
      </c>
      <c r="I37" s="236">
        <v>0.37709999999999999</v>
      </c>
    </row>
    <row r="38" spans="1:9">
      <c r="B38" s="232" t="s">
        <v>507</v>
      </c>
      <c r="F38" s="233">
        <v>0.30220000000000002</v>
      </c>
      <c r="G38" s="233">
        <v>0.30580000000000002</v>
      </c>
      <c r="H38" s="233">
        <v>0.30320000000000003</v>
      </c>
      <c r="I38" s="236">
        <v>0.35849999999999999</v>
      </c>
    </row>
    <row r="39" spans="1:9">
      <c r="B39" s="232" t="s">
        <v>81</v>
      </c>
      <c r="F39" s="233">
        <v>1.04E-2</v>
      </c>
      <c r="G39" s="233">
        <v>6.6E-3</v>
      </c>
      <c r="H39" s="237">
        <v>0.01</v>
      </c>
      <c r="I39" s="236">
        <v>1.8599999999999998E-2</v>
      </c>
    </row>
    <row r="40" spans="1:9">
      <c r="A40" s="232" t="s">
        <v>452</v>
      </c>
      <c r="C40" s="233">
        <v>0.46529999999999999</v>
      </c>
      <c r="D40" s="233">
        <v>0.4637</v>
      </c>
      <c r="E40" s="233">
        <v>0.41909999999999997</v>
      </c>
      <c r="F40" s="233">
        <v>0.44529999999999997</v>
      </c>
      <c r="G40" s="233">
        <v>0.4375</v>
      </c>
      <c r="H40" s="233">
        <v>0.44400000000000001</v>
      </c>
      <c r="I40" s="236">
        <v>0.43390000000000001</v>
      </c>
    </row>
    <row r="41" spans="1:9">
      <c r="B41" s="232" t="s">
        <v>445</v>
      </c>
      <c r="C41" s="233">
        <v>0.29880000000000001</v>
      </c>
      <c r="D41" s="233">
        <v>0.30430000000000001</v>
      </c>
      <c r="E41" s="233">
        <v>0.2908</v>
      </c>
      <c r="F41" s="233">
        <v>0.31909999999999999</v>
      </c>
      <c r="G41" s="233">
        <v>0.30880000000000002</v>
      </c>
      <c r="H41" s="237">
        <v>0.31</v>
      </c>
      <c r="I41" s="236">
        <v>0.28720000000000001</v>
      </c>
    </row>
    <row r="42" spans="1:9">
      <c r="B42" s="232" t="s">
        <v>440</v>
      </c>
      <c r="C42" s="233">
        <v>6.8599999999999994E-2</v>
      </c>
      <c r="D42" s="233">
        <v>5.0799999999999998E-2</v>
      </c>
      <c r="E42" s="233">
        <v>5.8200000000000002E-2</v>
      </c>
      <c r="F42" s="233">
        <v>6.54E-2</v>
      </c>
      <c r="G42" s="233">
        <v>8.0399999999999999E-2</v>
      </c>
      <c r="H42" s="233">
        <v>8.8700000000000001E-2</v>
      </c>
      <c r="I42" s="236">
        <v>0.10589999999999999</v>
      </c>
    </row>
    <row r="43" spans="1:9">
      <c r="B43" s="232" t="s">
        <v>508</v>
      </c>
      <c r="D43" s="233">
        <v>0.1081</v>
      </c>
      <c r="E43" s="233">
        <v>7.0099999999999996E-2</v>
      </c>
      <c r="F43" s="233">
        <v>6.0699999999999997E-2</v>
      </c>
      <c r="G43" s="233">
        <v>4.8300000000000003E-2</v>
      </c>
      <c r="H43" s="233">
        <v>4.53E-2</v>
      </c>
      <c r="I43" s="236">
        <v>4.0800000000000003E-2</v>
      </c>
    </row>
    <row r="44" spans="1:9">
      <c r="A44" s="232" t="s">
        <v>509</v>
      </c>
      <c r="C44" s="233">
        <v>6.3200000000000006E-2</v>
      </c>
      <c r="D44" s="233">
        <v>4.3999999999999997E-2</v>
      </c>
      <c r="E44" s="233">
        <v>3.7400000000000003E-2</v>
      </c>
      <c r="F44" s="233">
        <v>4.2299999999999997E-2</v>
      </c>
      <c r="G44" s="233">
        <v>3.3700000000000001E-2</v>
      </c>
      <c r="H44" s="233">
        <v>2.8400000000000002E-2</v>
      </c>
      <c r="I44" s="236">
        <v>2.1100000000000001E-2</v>
      </c>
    </row>
    <row r="45" spans="1:9">
      <c r="A45" s="232" t="s">
        <v>435</v>
      </c>
      <c r="C45" s="233">
        <v>1.37E-2</v>
      </c>
      <c r="D45" s="233">
        <v>3.5299999999999998E-2</v>
      </c>
      <c r="E45" s="233">
        <v>9.01E-2</v>
      </c>
      <c r="F45" s="233">
        <v>5.6000000000000001E-2</v>
      </c>
      <c r="G45" s="233">
        <v>5.16E-2</v>
      </c>
      <c r="H45" s="233">
        <v>4.7300000000000002E-2</v>
      </c>
      <c r="I45" s="236">
        <v>4.2099999999999999E-2</v>
      </c>
    </row>
    <row r="46" spans="1:9">
      <c r="A46" s="232" t="s">
        <v>426</v>
      </c>
      <c r="C46" s="233">
        <v>8.0000000000000004E-4</v>
      </c>
      <c r="G46" s="233">
        <v>2.5999999999999999E-3</v>
      </c>
      <c r="H46" s="233">
        <v>3.5999999999999999E-3</v>
      </c>
      <c r="I46" s="236">
        <v>4.8999999999999998E-3</v>
      </c>
    </row>
    <row r="47" spans="1:9">
      <c r="A47" s="232" t="s">
        <v>39</v>
      </c>
      <c r="C47" s="233">
        <v>0.2127</v>
      </c>
      <c r="D47" s="233">
        <v>0.20039999999999999</v>
      </c>
      <c r="E47" s="233">
        <v>0.14399999999999999</v>
      </c>
      <c r="F47" s="233">
        <v>0.1429</v>
      </c>
      <c r="G47" s="233">
        <v>0.16209999999999999</v>
      </c>
      <c r="H47" s="233">
        <v>0.16350000000000001</v>
      </c>
      <c r="I47" s="236">
        <v>0.121</v>
      </c>
    </row>
    <row r="49" spans="1:9">
      <c r="A49" s="248" t="s">
        <v>515</v>
      </c>
      <c r="B49" s="248"/>
      <c r="C49" s="248"/>
      <c r="D49" s="248"/>
      <c r="E49" s="248"/>
      <c r="F49" s="248"/>
      <c r="G49" s="248"/>
    </row>
    <row r="50" spans="1:9">
      <c r="A50" s="234"/>
      <c r="B50" s="234"/>
      <c r="C50" s="235" t="s">
        <v>21</v>
      </c>
      <c r="D50" s="235" t="s">
        <v>187</v>
      </c>
      <c r="E50" s="235" t="s">
        <v>23</v>
      </c>
      <c r="F50" s="235" t="s">
        <v>24</v>
      </c>
      <c r="G50" s="235" t="s">
        <v>25</v>
      </c>
      <c r="H50" s="235" t="s">
        <v>26</v>
      </c>
    </row>
    <row r="51" spans="1:9">
      <c r="A51" s="234"/>
      <c r="B51" s="234"/>
      <c r="C51" s="235"/>
      <c r="D51" s="235"/>
      <c r="E51" s="235"/>
      <c r="F51" s="235"/>
      <c r="G51" s="235"/>
      <c r="H51" s="234"/>
    </row>
    <row r="52" spans="1:9">
      <c r="A52" s="234"/>
      <c r="B52" s="234" t="s">
        <v>516</v>
      </c>
      <c r="C52" s="235">
        <v>0.24429999999999999</v>
      </c>
      <c r="D52" s="235">
        <v>0.25659999999999999</v>
      </c>
      <c r="E52" s="235">
        <v>0.30940000000000001</v>
      </c>
      <c r="F52" s="235">
        <v>0.30220000000000002</v>
      </c>
      <c r="G52" s="235">
        <v>0.30580000000000002</v>
      </c>
      <c r="H52" s="235">
        <f>H38</f>
        <v>0.30320000000000003</v>
      </c>
      <c r="I52" s="235">
        <f>I38</f>
        <v>0.35849999999999999</v>
      </c>
    </row>
    <row r="53" spans="1:9">
      <c r="A53" s="234"/>
      <c r="B53" s="234" t="s">
        <v>445</v>
      </c>
      <c r="C53" s="235">
        <v>0.29880000000000001</v>
      </c>
      <c r="D53" s="235">
        <v>0.30430000000000001</v>
      </c>
      <c r="E53" s="235">
        <v>0.2908</v>
      </c>
      <c r="F53" s="235">
        <v>0.31909999999999999</v>
      </c>
      <c r="G53" s="235">
        <v>0.30880000000000002</v>
      </c>
      <c r="H53" s="238">
        <f>H41</f>
        <v>0.31</v>
      </c>
      <c r="I53" s="238">
        <f>I41</f>
        <v>0.28720000000000001</v>
      </c>
    </row>
    <row r="54" spans="1:9">
      <c r="A54" s="234"/>
      <c r="B54" s="234" t="s">
        <v>512</v>
      </c>
      <c r="C54" s="235">
        <f t="shared" ref="C54:I54" si="7">C63+C62</f>
        <v>6.8599999999999994E-2</v>
      </c>
      <c r="D54" s="235">
        <f t="shared" si="7"/>
        <v>5.0799999999999998E-2</v>
      </c>
      <c r="E54" s="235">
        <f t="shared" si="7"/>
        <v>5.8200000000000002E-2</v>
      </c>
      <c r="F54" s="235">
        <f t="shared" si="7"/>
        <v>7.5800000000000006E-2</v>
      </c>
      <c r="G54" s="235">
        <f t="shared" si="7"/>
        <v>8.6999999999999994E-2</v>
      </c>
      <c r="H54" s="235">
        <f t="shared" si="7"/>
        <v>9.8699999999999996E-2</v>
      </c>
      <c r="I54" s="235">
        <f t="shared" si="7"/>
        <v>0.1245</v>
      </c>
    </row>
    <row r="55" spans="1:9">
      <c r="A55" s="234"/>
      <c r="B55" s="234" t="s">
        <v>39</v>
      </c>
      <c r="C55" s="235">
        <f>C61+C60+C59+C58+C57</f>
        <v>0.29039999999999999</v>
      </c>
      <c r="D55" s="235">
        <f t="shared" ref="D55:I55" si="8">D61+D60+D59+D58+D57</f>
        <v>0.38779999999999998</v>
      </c>
      <c r="E55" s="235">
        <f t="shared" si="8"/>
        <v>0.34159999999999996</v>
      </c>
      <c r="F55" s="235">
        <f t="shared" si="8"/>
        <v>0.3019</v>
      </c>
      <c r="G55" s="235">
        <f t="shared" si="8"/>
        <v>0.29830000000000001</v>
      </c>
      <c r="H55" s="235">
        <f t="shared" si="8"/>
        <v>0.28809999999999997</v>
      </c>
      <c r="I55" s="235">
        <f t="shared" si="8"/>
        <v>0.22989999999999999</v>
      </c>
    </row>
    <row r="56" spans="1:9">
      <c r="A56" s="234"/>
      <c r="B56" s="234"/>
      <c r="C56" s="235"/>
      <c r="D56" s="235"/>
      <c r="E56" s="235"/>
      <c r="F56" s="235"/>
      <c r="G56" s="235"/>
      <c r="H56" s="234"/>
      <c r="I56" s="234"/>
    </row>
    <row r="57" spans="1:9">
      <c r="A57" s="234" t="s">
        <v>509</v>
      </c>
      <c r="B57" s="234"/>
      <c r="C57" s="235">
        <v>6.3200000000000006E-2</v>
      </c>
      <c r="D57" s="235">
        <v>4.3999999999999997E-2</v>
      </c>
      <c r="E57" s="235">
        <v>3.7400000000000003E-2</v>
      </c>
      <c r="F57" s="235">
        <v>4.2299999999999997E-2</v>
      </c>
      <c r="G57" s="235">
        <v>3.3700000000000001E-2</v>
      </c>
      <c r="H57" s="235">
        <f>H44</f>
        <v>2.8400000000000002E-2</v>
      </c>
      <c r="I57" s="235">
        <f>I44</f>
        <v>2.1100000000000001E-2</v>
      </c>
    </row>
    <row r="58" spans="1:9">
      <c r="A58" s="234" t="s">
        <v>435</v>
      </c>
      <c r="B58" s="234"/>
      <c r="C58" s="235">
        <v>1.37E-2</v>
      </c>
      <c r="D58" s="235">
        <v>3.5299999999999998E-2</v>
      </c>
      <c r="E58" s="235">
        <v>9.01E-2</v>
      </c>
      <c r="F58" s="235">
        <v>5.6000000000000001E-2</v>
      </c>
      <c r="G58" s="235">
        <v>5.16E-2</v>
      </c>
      <c r="H58" s="235">
        <f>H45</f>
        <v>4.7300000000000002E-2</v>
      </c>
      <c r="I58" s="235">
        <f>I45</f>
        <v>4.2099999999999999E-2</v>
      </c>
    </row>
    <row r="59" spans="1:9">
      <c r="A59" s="234" t="s">
        <v>508</v>
      </c>
      <c r="B59" s="234"/>
      <c r="C59" s="235"/>
      <c r="D59" s="235">
        <v>0.1081</v>
      </c>
      <c r="E59" s="235">
        <v>7.0099999999999996E-2</v>
      </c>
      <c r="F59" s="235">
        <v>6.0699999999999997E-2</v>
      </c>
      <c r="G59" s="235">
        <v>4.8300000000000003E-2</v>
      </c>
      <c r="H59" s="235">
        <f>H43</f>
        <v>4.53E-2</v>
      </c>
      <c r="I59" s="235">
        <f>I43</f>
        <v>4.0800000000000003E-2</v>
      </c>
    </row>
    <row r="60" spans="1:9">
      <c r="A60" s="234" t="s">
        <v>426</v>
      </c>
      <c r="B60" s="234"/>
      <c r="C60" s="235">
        <v>8.0000000000000004E-4</v>
      </c>
      <c r="D60" s="235"/>
      <c r="E60" s="235"/>
      <c r="F60" s="235"/>
      <c r="G60" s="235">
        <v>2.5999999999999999E-3</v>
      </c>
      <c r="H60" s="235">
        <f>H46</f>
        <v>3.5999999999999999E-3</v>
      </c>
      <c r="I60" s="235">
        <f>I46</f>
        <v>4.8999999999999998E-3</v>
      </c>
    </row>
    <row r="61" spans="1:9">
      <c r="A61" s="234" t="s">
        <v>39</v>
      </c>
      <c r="B61" s="234"/>
      <c r="C61" s="235">
        <v>0.2127</v>
      </c>
      <c r="D61" s="235">
        <v>0.20039999999999999</v>
      </c>
      <c r="E61" s="235">
        <v>0.14399999999999999</v>
      </c>
      <c r="F61" s="235">
        <v>0.1429</v>
      </c>
      <c r="G61" s="235">
        <v>0.16209999999999999</v>
      </c>
      <c r="H61" s="235">
        <f>H47</f>
        <v>0.16350000000000001</v>
      </c>
      <c r="I61" s="235">
        <f>I47</f>
        <v>0.121</v>
      </c>
    </row>
    <row r="62" spans="1:9">
      <c r="A62" s="234" t="s">
        <v>81</v>
      </c>
      <c r="B62" s="234"/>
      <c r="C62" s="235"/>
      <c r="D62" s="235"/>
      <c r="E62" s="235"/>
      <c r="F62" s="235">
        <v>1.04E-2</v>
      </c>
      <c r="G62" s="235">
        <v>6.6E-3</v>
      </c>
      <c r="H62" s="238">
        <f>H39</f>
        <v>0.01</v>
      </c>
      <c r="I62" s="238">
        <f>I39</f>
        <v>1.8599999999999998E-2</v>
      </c>
    </row>
    <row r="63" spans="1:9">
      <c r="A63" s="234" t="s">
        <v>440</v>
      </c>
      <c r="B63" s="234"/>
      <c r="C63" s="235">
        <v>6.8599999999999994E-2</v>
      </c>
      <c r="D63" s="235">
        <v>5.0799999999999998E-2</v>
      </c>
      <c r="E63" s="235">
        <v>5.8200000000000002E-2</v>
      </c>
      <c r="F63" s="235">
        <v>6.54E-2</v>
      </c>
      <c r="G63" s="235">
        <v>8.0399999999999999E-2</v>
      </c>
      <c r="H63" s="235">
        <f>H42</f>
        <v>8.8700000000000001E-2</v>
      </c>
      <c r="I63" s="235">
        <f>I42</f>
        <v>0.10589999999999999</v>
      </c>
    </row>
  </sheetData>
  <mergeCells count="4">
    <mergeCell ref="A1:G1"/>
    <mergeCell ref="A16:G16"/>
    <mergeCell ref="A35:G35"/>
    <mergeCell ref="A49:G49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O31"/>
  <sheetViews>
    <sheetView topLeftCell="D10" workbookViewId="0">
      <selection activeCell="U46" sqref="U46"/>
    </sheetView>
  </sheetViews>
  <sheetFormatPr baseColWidth="10" defaultRowHeight="15" x14ac:dyDescent="0"/>
  <cols>
    <col min="1" max="4" width="10.83203125" style="1"/>
    <col min="5" max="10" width="15.33203125" style="1" bestFit="1" customWidth="1"/>
    <col min="11" max="11" width="13.5" style="1" customWidth="1"/>
    <col min="12" max="14" width="10.83203125" style="1"/>
    <col min="15" max="15" width="20.33203125" style="1" bestFit="1" customWidth="1"/>
    <col min="16" max="16384" width="10.83203125" style="1"/>
  </cols>
  <sheetData>
    <row r="6" spans="4:15">
      <c r="E6" s="1" t="s">
        <v>16</v>
      </c>
      <c r="F6" s="1" t="s">
        <v>17</v>
      </c>
      <c r="G6" s="1" t="s">
        <v>18</v>
      </c>
      <c r="H6" s="1" t="s">
        <v>19</v>
      </c>
      <c r="I6" s="1" t="s">
        <v>20</v>
      </c>
      <c r="J6" s="1" t="s">
        <v>21</v>
      </c>
      <c r="K6" s="1" t="s">
        <v>187</v>
      </c>
      <c r="L6" s="1" t="s">
        <v>23</v>
      </c>
      <c r="M6" s="1" t="s">
        <v>24</v>
      </c>
      <c r="N6" s="1" t="s">
        <v>25</v>
      </c>
      <c r="O6" s="1" t="s">
        <v>26</v>
      </c>
    </row>
    <row r="7" spans="4:15">
      <c r="D7" s="1" t="s">
        <v>188</v>
      </c>
      <c r="E7" s="93">
        <v>0.94120000000000004</v>
      </c>
      <c r="F7" s="93">
        <f>1-SUM(F8:F9)</f>
        <v>0.93469999999999998</v>
      </c>
      <c r="G7" s="93">
        <f t="shared" ref="G7:I7" si="0">1-SUM(G8:G9)</f>
        <v>0.92359999999999998</v>
      </c>
      <c r="H7" s="93">
        <f t="shared" si="0"/>
        <v>0.91639999999999999</v>
      </c>
      <c r="I7" s="93">
        <f t="shared" si="0"/>
        <v>0.87819999999999998</v>
      </c>
      <c r="J7" s="94">
        <v>0.84799999999999998</v>
      </c>
      <c r="K7" s="94">
        <v>0.82540000000000002</v>
      </c>
      <c r="L7" s="94">
        <v>0.80920000000000003</v>
      </c>
      <c r="M7" s="95">
        <v>0.78879999999999995</v>
      </c>
      <c r="N7" s="95">
        <v>0.77869999999999995</v>
      </c>
      <c r="O7" s="36">
        <v>0.75290000000000001</v>
      </c>
    </row>
    <row r="8" spans="4:15">
      <c r="D8" s="1" t="s">
        <v>81</v>
      </c>
      <c r="E8" s="93">
        <v>1.66E-2</v>
      </c>
      <c r="F8" s="93">
        <v>2.2599999999999999E-2</v>
      </c>
      <c r="G8" s="93">
        <v>3.1699999999999999E-2</v>
      </c>
      <c r="H8" s="93">
        <v>4.0599999999999997E-2</v>
      </c>
      <c r="I8" s="93">
        <v>6.1199999999999997E-2</v>
      </c>
      <c r="J8" s="96">
        <v>7.3099999999999998E-2</v>
      </c>
      <c r="K8" s="96">
        <v>8.5500000000000007E-2</v>
      </c>
      <c r="L8" s="96">
        <v>9.5699999999999993E-2</v>
      </c>
      <c r="M8" s="96">
        <v>0.1149</v>
      </c>
      <c r="N8" s="96">
        <v>0.1244</v>
      </c>
      <c r="O8" s="36">
        <v>0.14649999999999999</v>
      </c>
    </row>
    <row r="9" spans="4:15">
      <c r="D9" s="1" t="s">
        <v>140</v>
      </c>
      <c r="E9" s="93">
        <v>4.2299999999999997E-2</v>
      </c>
      <c r="F9" s="93">
        <v>4.2700000000000002E-2</v>
      </c>
      <c r="G9" s="93">
        <v>4.4699999999999997E-2</v>
      </c>
      <c r="H9" s="93">
        <v>4.2999999999999997E-2</v>
      </c>
      <c r="I9" s="93">
        <v>6.0600000000000001E-2</v>
      </c>
      <c r="J9" s="96">
        <v>7.8899999999999998E-2</v>
      </c>
      <c r="K9" s="96">
        <v>8.9099999999999999E-2</v>
      </c>
      <c r="L9" s="96">
        <v>9.5100000000000004E-2</v>
      </c>
      <c r="M9" s="96">
        <v>9.6300000000000011E-2</v>
      </c>
      <c r="N9" s="96">
        <v>9.69E-2</v>
      </c>
      <c r="O9" s="36">
        <v>0.10059999999999999</v>
      </c>
    </row>
    <row r="10" spans="4:15">
      <c r="E10" s="36">
        <f>SUM(E8:E9)</f>
        <v>5.8899999999999994E-2</v>
      </c>
      <c r="F10" s="36">
        <f t="shared" ref="F10:J10" si="1">SUM(F8:F9)</f>
        <v>6.5299999999999997E-2</v>
      </c>
      <c r="G10" s="36">
        <f t="shared" si="1"/>
        <v>7.6399999999999996E-2</v>
      </c>
      <c r="H10" s="36">
        <f t="shared" si="1"/>
        <v>8.3599999999999994E-2</v>
      </c>
      <c r="I10" s="36">
        <f t="shared" si="1"/>
        <v>0.12179999999999999</v>
      </c>
      <c r="J10" s="36">
        <f t="shared" si="1"/>
        <v>0.152</v>
      </c>
      <c r="K10" s="36">
        <f>SUM(K8:K9)</f>
        <v>0.17460000000000001</v>
      </c>
      <c r="L10" s="36">
        <f>SUM(L8:L9)</f>
        <v>0.1908</v>
      </c>
      <c r="M10" s="36">
        <f t="shared" ref="M10:N10" si="2">SUM(M8:M9)</f>
        <v>0.2112</v>
      </c>
      <c r="N10" s="36">
        <f t="shared" si="2"/>
        <v>0.2213</v>
      </c>
      <c r="O10" s="36">
        <v>0.24709999999999999</v>
      </c>
    </row>
    <row r="11" spans="4:15">
      <c r="E11" s="36"/>
      <c r="F11" s="36"/>
      <c r="G11" s="36"/>
      <c r="H11" s="36"/>
      <c r="I11" s="36">
        <f t="shared" ref="I11:J11" si="3">I10/E10-1</f>
        <v>1.0679117147707982</v>
      </c>
      <c r="J11" s="36">
        <f t="shared" si="3"/>
        <v>1.327718223583461</v>
      </c>
      <c r="K11" s="36">
        <f>K10/G10-1</f>
        <v>1.2853403141361257</v>
      </c>
      <c r="L11" s="36">
        <f>L10/H10-1</f>
        <v>1.2822966507177034</v>
      </c>
      <c r="M11" s="36">
        <f t="shared" ref="M11:N11" si="4">M10/I10-1</f>
        <v>0.73399014778325133</v>
      </c>
      <c r="N11" s="36">
        <f t="shared" si="4"/>
        <v>0.45592105263157889</v>
      </c>
      <c r="O11" s="36">
        <v>0.41523482245131715</v>
      </c>
    </row>
    <row r="12" spans="4:15">
      <c r="D12" s="1" t="s">
        <v>140</v>
      </c>
      <c r="E12" s="97"/>
      <c r="F12" s="97"/>
      <c r="G12" s="97"/>
      <c r="H12" s="97"/>
      <c r="I12" s="97"/>
      <c r="J12" s="97"/>
      <c r="K12" s="97"/>
    </row>
    <row r="13" spans="4:15">
      <c r="D13" s="1" t="s">
        <v>445</v>
      </c>
      <c r="E13" s="97">
        <v>0.56630000000000003</v>
      </c>
      <c r="F13" s="97">
        <v>0.60340000000000005</v>
      </c>
      <c r="G13" s="97">
        <v>0.55359999999999998</v>
      </c>
      <c r="H13" s="97">
        <v>0.52790000000000004</v>
      </c>
      <c r="I13" s="97">
        <v>0.57350000000000001</v>
      </c>
      <c r="J13" s="97">
        <v>0.60229999999999995</v>
      </c>
      <c r="K13" s="97">
        <v>0.6</v>
      </c>
      <c r="L13" s="97">
        <v>0.60609999999999997</v>
      </c>
      <c r="M13" s="97">
        <v>0.63890000000000002</v>
      </c>
      <c r="N13" s="97">
        <v>0.62729999999999997</v>
      </c>
      <c r="O13" s="36">
        <v>0.62790000000000001</v>
      </c>
    </row>
    <row r="14" spans="4:15">
      <c r="D14" s="1" t="s">
        <v>349</v>
      </c>
      <c r="E14" s="97">
        <v>0.42359999999999998</v>
      </c>
      <c r="F14" s="97">
        <v>0.38269999999999998</v>
      </c>
      <c r="G14" s="97">
        <v>0.43030000000000002</v>
      </c>
      <c r="H14" s="97">
        <v>0.45639999999999997</v>
      </c>
      <c r="I14" s="97">
        <v>0.4128</v>
      </c>
      <c r="J14" s="97">
        <v>0.38300000000000001</v>
      </c>
      <c r="K14" s="97">
        <v>0.38329999999999997</v>
      </c>
      <c r="L14" s="97">
        <v>0.37969999999999998</v>
      </c>
      <c r="M14" s="97">
        <v>0.34850000000000003</v>
      </c>
      <c r="N14" s="97">
        <v>0.35920000000000002</v>
      </c>
      <c r="O14" s="36">
        <v>0.35980000000000001</v>
      </c>
    </row>
    <row r="15" spans="4:15">
      <c r="D15" s="1" t="s">
        <v>39</v>
      </c>
      <c r="E15" s="93">
        <f>1-SUM(E13:E14)</f>
        <v>1.0099999999999998E-2</v>
      </c>
      <c r="F15" s="93">
        <f>1-SUM(F13:F14)</f>
        <v>1.3900000000000023E-2</v>
      </c>
      <c r="G15" s="93">
        <f>1-SUM(G13:G14)</f>
        <v>1.6100000000000003E-2</v>
      </c>
      <c r="H15" s="93">
        <f t="shared" ref="H15:L15" si="5">1-SUM(H13:H14)</f>
        <v>1.5700000000000047E-2</v>
      </c>
      <c r="I15" s="93">
        <f t="shared" si="5"/>
        <v>1.3700000000000045E-2</v>
      </c>
      <c r="J15" s="93">
        <f t="shared" si="5"/>
        <v>1.4700000000000046E-2</v>
      </c>
      <c r="K15" s="93">
        <f t="shared" si="5"/>
        <v>1.6700000000000048E-2</v>
      </c>
      <c r="L15" s="93">
        <f t="shared" si="5"/>
        <v>1.419999999999999E-2</v>
      </c>
      <c r="M15" s="95">
        <v>1.26E-2</v>
      </c>
      <c r="N15" s="95">
        <v>1.35E-2</v>
      </c>
      <c r="O15" s="1">
        <v>1.23E-2</v>
      </c>
    </row>
    <row r="16" spans="4:15">
      <c r="E16" s="97"/>
      <c r="F16" s="97"/>
      <c r="H16" s="97"/>
      <c r="I16" s="97"/>
      <c r="J16" s="97"/>
      <c r="K16" s="97"/>
    </row>
    <row r="17" spans="4:15">
      <c r="D17" s="1" t="s">
        <v>2</v>
      </c>
      <c r="E17" s="97"/>
      <c r="F17" s="97"/>
      <c r="G17" s="97"/>
      <c r="H17" s="97"/>
      <c r="I17" s="97"/>
      <c r="J17" s="97"/>
      <c r="K17" s="97"/>
    </row>
    <row r="18" spans="4:15">
      <c r="D18" s="1" t="s">
        <v>440</v>
      </c>
      <c r="E18" s="97">
        <v>0.99680000000000002</v>
      </c>
      <c r="F18" s="97">
        <v>0.98909999999999998</v>
      </c>
      <c r="G18" s="97">
        <v>0.96899999999999997</v>
      </c>
      <c r="H18" s="97">
        <v>0.94499999999999995</v>
      </c>
      <c r="I18" s="97">
        <v>0.89300000000000002</v>
      </c>
      <c r="J18" s="97">
        <v>0.88419999999999999</v>
      </c>
      <c r="K18" s="97">
        <v>0.88939999999999997</v>
      </c>
      <c r="L18" s="97">
        <v>0.90249999999999997</v>
      </c>
      <c r="M18" s="95">
        <v>0.9083</v>
      </c>
      <c r="N18" s="95">
        <v>0.90629999999999999</v>
      </c>
      <c r="O18" s="36">
        <v>0.89559999999999995</v>
      </c>
    </row>
    <row r="19" spans="4:15">
      <c r="D19" s="1" t="s">
        <v>349</v>
      </c>
      <c r="E19" s="97">
        <v>3.2000000000000002E-3</v>
      </c>
      <c r="F19" s="97">
        <v>1.09E-2</v>
      </c>
      <c r="G19" s="97">
        <v>3.1E-2</v>
      </c>
      <c r="H19" s="97">
        <v>4.5699999999999998E-2</v>
      </c>
      <c r="I19" s="97">
        <v>6.2899999999999998E-2</v>
      </c>
      <c r="J19" s="97">
        <v>6.5000000000000002E-2</v>
      </c>
      <c r="K19" s="97">
        <v>6.3399999999999998E-2</v>
      </c>
      <c r="L19" s="97">
        <v>6.6900000000000001E-2</v>
      </c>
      <c r="M19" s="95">
        <v>7.0199999999999999E-2</v>
      </c>
      <c r="N19" s="95">
        <v>7.6299999999999993E-2</v>
      </c>
      <c r="O19" s="36">
        <v>8.9700000000000002E-2</v>
      </c>
    </row>
    <row r="20" spans="4:15">
      <c r="D20" s="1" t="s">
        <v>517</v>
      </c>
      <c r="E20" s="97">
        <v>0</v>
      </c>
      <c r="F20" s="97">
        <v>0</v>
      </c>
      <c r="G20" s="97">
        <v>0</v>
      </c>
      <c r="H20" s="97">
        <v>9.2999999999999992E-3</v>
      </c>
      <c r="I20" s="97">
        <v>4.41E-2</v>
      </c>
      <c r="J20" s="97">
        <v>5.0799999999999998E-2</v>
      </c>
      <c r="K20" s="97">
        <v>4.7100000000000003E-2</v>
      </c>
      <c r="L20" s="97">
        <v>3.0700000000000002E-2</v>
      </c>
      <c r="M20" s="95">
        <v>2.1499999999999998E-2</v>
      </c>
      <c r="N20" s="95">
        <v>1.7399999999999999E-2</v>
      </c>
      <c r="O20" s="36">
        <v>1.47E-2</v>
      </c>
    </row>
    <row r="21" spans="4:15">
      <c r="E21" s="97"/>
      <c r="F21" s="97"/>
      <c r="G21" s="97"/>
      <c r="H21" s="97"/>
      <c r="I21" s="97"/>
      <c r="J21" s="97"/>
      <c r="K21" s="97"/>
    </row>
    <row r="22" spans="4:15">
      <c r="E22" s="97"/>
      <c r="F22" s="97"/>
      <c r="G22" s="97"/>
      <c r="H22" s="97"/>
      <c r="I22" s="97"/>
      <c r="J22" s="97"/>
      <c r="K22" s="97"/>
    </row>
    <row r="23" spans="4:15">
      <c r="D23" s="1" t="s">
        <v>445</v>
      </c>
      <c r="E23" s="98">
        <f>(E13*E9)/E10</f>
        <v>0.40669762308998303</v>
      </c>
      <c r="F23" s="98">
        <f t="shared" ref="F23:N23" si="6">(F13*F9)/F10</f>
        <v>0.39456630934150083</v>
      </c>
      <c r="G23" s="98">
        <f t="shared" si="6"/>
        <v>0.32389947643979056</v>
      </c>
      <c r="H23" s="98">
        <f t="shared" si="6"/>
        <v>0.27152751196172248</v>
      </c>
      <c r="I23" s="98">
        <f t="shared" si="6"/>
        <v>0.28533743842364534</v>
      </c>
      <c r="J23" s="98">
        <f t="shared" si="6"/>
        <v>0.31264124999999998</v>
      </c>
      <c r="K23" s="98">
        <f t="shared" si="6"/>
        <v>0.30618556701030925</v>
      </c>
      <c r="L23" s="98">
        <f t="shared" si="6"/>
        <v>0.30209701257861638</v>
      </c>
      <c r="M23" s="98">
        <f t="shared" si="6"/>
        <v>0.29131661931818187</v>
      </c>
      <c r="N23" s="98">
        <f t="shared" si="6"/>
        <v>0.274674062358789</v>
      </c>
      <c r="O23" s="36">
        <v>0.25563229461756376</v>
      </c>
    </row>
    <row r="24" spans="4:15">
      <c r="D24" s="1" t="s">
        <v>440</v>
      </c>
      <c r="E24" s="98">
        <f>(E18*E8)/E10</f>
        <v>0.28093174872665538</v>
      </c>
      <c r="F24" s="98">
        <f t="shared" ref="F24:N24" si="7">(F18*F8)/F10</f>
        <v>0.34232251148545173</v>
      </c>
      <c r="G24" s="98">
        <f t="shared" si="7"/>
        <v>0.40205890052356025</v>
      </c>
      <c r="H24" s="98">
        <f t="shared" si="7"/>
        <v>0.45893540669856459</v>
      </c>
      <c r="I24" s="98">
        <f t="shared" si="7"/>
        <v>0.44869950738916259</v>
      </c>
      <c r="J24" s="98">
        <f t="shared" si="7"/>
        <v>0.4252303947368421</v>
      </c>
      <c r="K24" s="98">
        <f t="shared" si="7"/>
        <v>0.43553092783505154</v>
      </c>
      <c r="L24" s="98">
        <f t="shared" si="7"/>
        <v>0.45266902515723267</v>
      </c>
      <c r="M24" s="98">
        <f t="shared" si="7"/>
        <v>0.49414616477272733</v>
      </c>
      <c r="N24" s="98">
        <f t="shared" si="7"/>
        <v>0.50946100316312692</v>
      </c>
      <c r="O24" s="36">
        <v>0.53098097936058264</v>
      </c>
    </row>
    <row r="25" spans="4:15">
      <c r="D25" s="1" t="s">
        <v>349</v>
      </c>
      <c r="E25" s="98">
        <f>(E14*E9)/E10</f>
        <v>0.30421528013582344</v>
      </c>
      <c r="F25" s="98">
        <f t="shared" ref="F25:N25" si="8">(F14*F9)/F10</f>
        <v>0.25024946401225118</v>
      </c>
      <c r="G25" s="98">
        <f t="shared" si="8"/>
        <v>0.25175929319371732</v>
      </c>
      <c r="H25" s="98">
        <f t="shared" si="8"/>
        <v>0.23475119617224882</v>
      </c>
      <c r="I25" s="98">
        <f t="shared" si="8"/>
        <v>0.20538325123152712</v>
      </c>
      <c r="J25" s="98">
        <f t="shared" si="8"/>
        <v>0.19880723684210527</v>
      </c>
      <c r="K25" s="98">
        <f t="shared" si="8"/>
        <v>0.19560154639175256</v>
      </c>
      <c r="L25" s="98">
        <f t="shared" si="8"/>
        <v>0.18925298742138363</v>
      </c>
      <c r="M25" s="98">
        <f t="shared" si="8"/>
        <v>0.15890411931818185</v>
      </c>
      <c r="N25" s="98">
        <f t="shared" si="8"/>
        <v>0.15728187980117489</v>
      </c>
      <c r="O25" s="36">
        <v>0.14648271954674222</v>
      </c>
    </row>
    <row r="26" spans="4:15">
      <c r="D26" s="1" t="s">
        <v>518</v>
      </c>
      <c r="E26" s="98">
        <f>(E19*E8)/E10</f>
        <v>9.0186757215619719E-4</v>
      </c>
      <c r="F26" s="98">
        <f t="shared" ref="F26:N26" si="9">(F19*F8)/F10</f>
        <v>3.7724349157733541E-3</v>
      </c>
      <c r="G26" s="98">
        <f t="shared" si="9"/>
        <v>1.2862565445026179E-2</v>
      </c>
      <c r="H26" s="98">
        <f t="shared" si="9"/>
        <v>2.2194019138755981E-2</v>
      </c>
      <c r="I26" s="98">
        <f t="shared" si="9"/>
        <v>3.1604926108374384E-2</v>
      </c>
      <c r="J26" s="98">
        <f t="shared" si="9"/>
        <v>3.1259868421052633E-2</v>
      </c>
      <c r="K26" s="98">
        <f t="shared" si="9"/>
        <v>3.1046391752577323E-2</v>
      </c>
      <c r="L26" s="98">
        <f t="shared" si="9"/>
        <v>3.3555188679245278E-2</v>
      </c>
      <c r="M26" s="98">
        <f t="shared" si="9"/>
        <v>3.8191193181818184E-2</v>
      </c>
      <c r="N26" s="98">
        <f t="shared" si="9"/>
        <v>4.2890736556710343E-2</v>
      </c>
      <c r="O26" s="36">
        <v>5.3181100768919465E-2</v>
      </c>
    </row>
    <row r="27" spans="4:15">
      <c r="D27" s="1" t="s">
        <v>39</v>
      </c>
      <c r="E27" s="98">
        <f>1-SUM(E23:E26)</f>
        <v>7.2534804753819904E-3</v>
      </c>
      <c r="F27" s="98">
        <f t="shared" ref="F27:K27" si="10">1-SUM(F23:F26)</f>
        <v>9.0892802450227572E-3</v>
      </c>
      <c r="G27" s="98">
        <f t="shared" si="10"/>
        <v>9.4197643979055945E-3</v>
      </c>
      <c r="H27" s="98">
        <f t="shared" si="10"/>
        <v>1.2591866028708099E-2</v>
      </c>
      <c r="I27" s="98">
        <f t="shared" si="10"/>
        <v>2.8974876847290498E-2</v>
      </c>
      <c r="J27" s="98">
        <f t="shared" si="10"/>
        <v>3.2061250000000041E-2</v>
      </c>
      <c r="K27" s="98">
        <f t="shared" si="10"/>
        <v>3.1635567010309451E-2</v>
      </c>
      <c r="L27" s="98">
        <f t="shared" ref="L27:N27" si="11">1-SUM(L23:L26)</f>
        <v>2.2425786163522088E-2</v>
      </c>
      <c r="M27" s="98">
        <f t="shared" si="11"/>
        <v>1.7441903409090798E-2</v>
      </c>
      <c r="N27" s="98">
        <f t="shared" si="11"/>
        <v>1.5692318120198778E-2</v>
      </c>
      <c r="O27" s="36">
        <v>1.3722905706191946E-2</v>
      </c>
    </row>
    <row r="28" spans="4:15">
      <c r="E28" s="97">
        <f>SUM(E23:E27)</f>
        <v>1</v>
      </c>
      <c r="F28" s="97">
        <f t="shared" ref="F28:N28" si="12">SUM(F23:F27)</f>
        <v>1</v>
      </c>
      <c r="G28" s="97">
        <f t="shared" si="12"/>
        <v>1</v>
      </c>
      <c r="H28" s="97">
        <f t="shared" si="12"/>
        <v>1</v>
      </c>
      <c r="I28" s="97">
        <f t="shared" si="12"/>
        <v>1</v>
      </c>
      <c r="J28" s="97">
        <f t="shared" si="12"/>
        <v>1</v>
      </c>
      <c r="K28" s="97">
        <f t="shared" si="12"/>
        <v>1</v>
      </c>
      <c r="L28" s="97">
        <f t="shared" si="12"/>
        <v>1</v>
      </c>
      <c r="M28" s="97">
        <f t="shared" si="12"/>
        <v>1</v>
      </c>
      <c r="N28" s="97">
        <f t="shared" si="12"/>
        <v>1</v>
      </c>
      <c r="O28" s="36">
        <v>1</v>
      </c>
    </row>
    <row r="29" spans="4:15">
      <c r="D29" s="1" t="s">
        <v>452</v>
      </c>
      <c r="E29" s="9">
        <f>((E13*E9)+(E18*E8))/E10</f>
        <v>0.6876293718166383</v>
      </c>
      <c r="F29" s="9">
        <f t="shared" ref="F29:N29" si="13">((F13*F9)+(F18*F8))/F10</f>
        <v>0.73688882082695251</v>
      </c>
      <c r="G29" s="9">
        <f t="shared" si="13"/>
        <v>0.72595837696335075</v>
      </c>
      <c r="H29" s="9">
        <f t="shared" si="13"/>
        <v>0.73046291866028712</v>
      </c>
      <c r="I29" s="9">
        <f t="shared" si="13"/>
        <v>0.73403694581280798</v>
      </c>
      <c r="J29" s="9">
        <f t="shared" si="13"/>
        <v>0.73787164473684208</v>
      </c>
      <c r="K29" s="9">
        <f t="shared" si="13"/>
        <v>0.74171649484536084</v>
      </c>
      <c r="L29" s="9">
        <f t="shared" si="13"/>
        <v>0.75476603773584905</v>
      </c>
      <c r="M29" s="9">
        <f t="shared" si="13"/>
        <v>0.78546278409090908</v>
      </c>
      <c r="N29" s="9">
        <f t="shared" si="13"/>
        <v>0.78413506552191592</v>
      </c>
      <c r="O29" s="36">
        <v>0.7866132739781464</v>
      </c>
    </row>
    <row r="30" spans="4:15">
      <c r="D30" s="1" t="s">
        <v>349</v>
      </c>
      <c r="E30" s="9">
        <f>((E14*E9)+(E19*E8))/E10</f>
        <v>0.30511714770797965</v>
      </c>
      <c r="F30" s="9">
        <f t="shared" ref="F30:N30" si="14">((F14*F9)+(F19*F8))/F10</f>
        <v>0.25402189892802457</v>
      </c>
      <c r="G30" s="9">
        <f t="shared" si="14"/>
        <v>0.26462185863874349</v>
      </c>
      <c r="H30" s="9">
        <f t="shared" si="14"/>
        <v>0.25694521531100478</v>
      </c>
      <c r="I30" s="9">
        <f t="shared" si="14"/>
        <v>0.23698817733990149</v>
      </c>
      <c r="J30" s="9">
        <f t="shared" si="14"/>
        <v>0.23006710526315791</v>
      </c>
      <c r="K30" s="9">
        <f t="shared" si="14"/>
        <v>0.2266479381443299</v>
      </c>
      <c r="L30" s="9">
        <f t="shared" si="14"/>
        <v>0.22280817610062892</v>
      </c>
      <c r="M30" s="9">
        <f t="shared" si="14"/>
        <v>0.19709531250000004</v>
      </c>
      <c r="N30" s="9">
        <f t="shared" si="14"/>
        <v>0.20017261635788522</v>
      </c>
      <c r="O30" s="36">
        <v>0.19966382031566168</v>
      </c>
    </row>
    <row r="31" spans="4:15">
      <c r="D31" s="1" t="s">
        <v>39</v>
      </c>
      <c r="E31" s="9">
        <f>1-SUM(E29:E30)</f>
        <v>7.2534804753821014E-3</v>
      </c>
      <c r="F31" s="9">
        <f t="shared" ref="F31:K31" si="15">1-SUM(F29:F30)</f>
        <v>9.0892802450228682E-3</v>
      </c>
      <c r="G31" s="9">
        <f t="shared" si="15"/>
        <v>9.4197643979057055E-3</v>
      </c>
      <c r="H31" s="9">
        <f t="shared" si="15"/>
        <v>1.2591866028708099E-2</v>
      </c>
      <c r="I31" s="9">
        <f t="shared" si="15"/>
        <v>2.8974876847290498E-2</v>
      </c>
      <c r="J31" s="9">
        <f t="shared" si="15"/>
        <v>3.2061250000000041E-2</v>
      </c>
      <c r="K31" s="9">
        <f t="shared" si="15"/>
        <v>3.1635567010309229E-2</v>
      </c>
      <c r="L31" s="9">
        <f t="shared" ref="L31:N31" si="16">1-SUM(L29:L30)</f>
        <v>2.2425786163521977E-2</v>
      </c>
      <c r="M31" s="9">
        <f t="shared" si="16"/>
        <v>1.7441903409090909E-2</v>
      </c>
      <c r="N31" s="9">
        <f t="shared" si="16"/>
        <v>1.5692318120198889E-2</v>
      </c>
      <c r="O31" s="36">
        <v>1.3722905706191946E-2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19" workbookViewId="0">
      <selection activeCell="U46" sqref="U46"/>
    </sheetView>
  </sheetViews>
  <sheetFormatPr baseColWidth="10" defaultRowHeight="15" x14ac:dyDescent="0"/>
  <cols>
    <col min="1" max="16384" width="10.83203125" style="1"/>
  </cols>
  <sheetData>
    <row r="1" spans="1:3">
      <c r="A1" s="1" t="s">
        <v>519</v>
      </c>
    </row>
    <row r="2" spans="1:3">
      <c r="B2" s="1" t="s">
        <v>520</v>
      </c>
      <c r="C2" s="1" t="s">
        <v>521</v>
      </c>
    </row>
    <row r="3" spans="1:3">
      <c r="A3" s="1" t="s">
        <v>145</v>
      </c>
      <c r="B3" s="99">
        <v>0.06</v>
      </c>
      <c r="C3" s="99">
        <v>0.23</v>
      </c>
    </row>
    <row r="4" spans="1:3">
      <c r="A4" s="1" t="s">
        <v>138</v>
      </c>
      <c r="B4" s="99">
        <v>0.42</v>
      </c>
      <c r="C4" s="99">
        <v>0.43</v>
      </c>
    </row>
    <row r="5" spans="1:3">
      <c r="A5" s="1" t="s">
        <v>522</v>
      </c>
      <c r="B5" s="99">
        <v>0.26</v>
      </c>
      <c r="C5" s="99">
        <v>0.22</v>
      </c>
    </row>
    <row r="6" spans="1:3">
      <c r="A6" s="1" t="s">
        <v>147</v>
      </c>
      <c r="B6" s="99">
        <v>0.14000000000000001</v>
      </c>
      <c r="C6" s="99">
        <v>0.1</v>
      </c>
    </row>
    <row r="7" spans="1:3">
      <c r="A7" s="1" t="s">
        <v>146</v>
      </c>
      <c r="B7" s="99">
        <v>0.12</v>
      </c>
      <c r="C7" s="99">
        <v>0.03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K21"/>
  <sheetViews>
    <sheetView topLeftCell="A43" workbookViewId="0">
      <selection activeCell="S72" sqref="S72"/>
    </sheetView>
  </sheetViews>
  <sheetFormatPr baseColWidth="10" defaultRowHeight="15" x14ac:dyDescent="0"/>
  <cols>
    <col min="1" max="16384" width="10.83203125" style="1"/>
  </cols>
  <sheetData>
    <row r="5" spans="1:37">
      <c r="C5" s="239"/>
    </row>
    <row r="9" spans="1:37">
      <c r="B9" s="1">
        <f t="shared" ref="B9:J9" si="0">C9-1</f>
        <v>1995</v>
      </c>
      <c r="C9" s="1">
        <f t="shared" si="0"/>
        <v>1996</v>
      </c>
      <c r="D9" s="1">
        <f t="shared" si="0"/>
        <v>1997</v>
      </c>
      <c r="E9" s="1">
        <f t="shared" si="0"/>
        <v>1998</v>
      </c>
      <c r="F9" s="1">
        <f t="shared" si="0"/>
        <v>1999</v>
      </c>
      <c r="G9" s="1">
        <f t="shared" si="0"/>
        <v>2000</v>
      </c>
      <c r="H9" s="1">
        <f t="shared" si="0"/>
        <v>2001</v>
      </c>
      <c r="I9" s="1">
        <f t="shared" si="0"/>
        <v>2002</v>
      </c>
      <c r="J9" s="1">
        <f t="shared" si="0"/>
        <v>2003</v>
      </c>
      <c r="K9" s="1">
        <v>2004</v>
      </c>
      <c r="L9" s="1">
        <v>2005</v>
      </c>
      <c r="M9" s="1">
        <v>2006</v>
      </c>
      <c r="N9" s="1">
        <f>O9-1</f>
        <v>2007</v>
      </c>
      <c r="O9" s="1">
        <f>P9-1</f>
        <v>2008</v>
      </c>
      <c r="P9" s="1">
        <f>Q9-1</f>
        <v>2009</v>
      </c>
      <c r="Q9" s="1">
        <f>R9-1</f>
        <v>2010</v>
      </c>
      <c r="R9" s="1">
        <v>2011</v>
      </c>
      <c r="S9" s="1">
        <v>2012</v>
      </c>
      <c r="T9" s="1" t="s">
        <v>113</v>
      </c>
      <c r="U9" s="1">
        <v>2014</v>
      </c>
      <c r="V9" s="1">
        <v>2015</v>
      </c>
      <c r="AA9" s="1">
        <v>2012</v>
      </c>
      <c r="AC9" s="1">
        <v>2015</v>
      </c>
    </row>
    <row r="10" spans="1:37">
      <c r="B10" s="44">
        <f>97.622/1.2</f>
        <v>81.351666666666674</v>
      </c>
      <c r="C10" s="44">
        <f>105.973/1.2</f>
        <v>88.310833333333335</v>
      </c>
      <c r="D10" s="44">
        <f>(41.67+9.821+36.893+7.237+13.491+D11)/1.2</f>
        <v>91.68249999999999</v>
      </c>
      <c r="E10" s="44">
        <f>56.214+48.846+E11</f>
        <v>106.98</v>
      </c>
      <c r="F10" s="44">
        <f>60.618+55.667+F11</f>
        <v>120.90599999999999</v>
      </c>
      <c r="G10" s="44">
        <f>65.761+65.148+G11</f>
        <v>138.99599999999998</v>
      </c>
      <c r="H10" s="44">
        <f>57.337+59.716+H11</f>
        <v>124.187</v>
      </c>
      <c r="I10" s="44">
        <f>56.497+63.657+I11</f>
        <v>126.16409999999999</v>
      </c>
      <c r="J10" s="44">
        <f>57.237+67.454+J11</f>
        <v>131.958</v>
      </c>
      <c r="K10" s="44">
        <f>62.103+70.61+K11</f>
        <v>142.339</v>
      </c>
      <c r="L10" s="44">
        <f>64.656+71.903+L11</f>
        <v>149.09631343283584</v>
      </c>
      <c r="M10" s="44">
        <f>66.036+74.813+M11</f>
        <v>157.649</v>
      </c>
      <c r="N10" s="44">
        <f>66.33+76.573+N11</f>
        <v>164.10299999999998</v>
      </c>
      <c r="O10" s="44">
        <v>156.92400000000001</v>
      </c>
      <c r="P10" s="44">
        <v>140.31799999999998</v>
      </c>
      <c r="Q10" s="44">
        <v>147.595</v>
      </c>
      <c r="R10" s="44">
        <f>152.1/1.027</f>
        <v>148.10126582278482</v>
      </c>
      <c r="S10" s="44">
        <f>R10*1.03</f>
        <v>152.54430379746839</v>
      </c>
      <c r="T10" s="190">
        <f>184.73*0.9</f>
        <v>166.25700000000001</v>
      </c>
      <c r="U10" s="240">
        <f>191.94*0.9</f>
        <v>172.74600000000001</v>
      </c>
      <c r="V10" s="240">
        <f>197.47*0.9</f>
        <v>177.72300000000001</v>
      </c>
      <c r="AA10" s="44">
        <v>152.54430379746839</v>
      </c>
      <c r="AC10" s="240">
        <v>177.72300000000001</v>
      </c>
    </row>
    <row r="11" spans="1:37">
      <c r="B11" s="44">
        <v>5.5E-2</v>
      </c>
      <c r="C11" s="44">
        <v>0.26700000000000002</v>
      </c>
      <c r="D11" s="44">
        <v>0.90700000000000003</v>
      </c>
      <c r="E11" s="44">
        <v>1.92</v>
      </c>
      <c r="F11" s="44">
        <v>4.6210000000000004</v>
      </c>
      <c r="G11" s="44">
        <v>8.0869999999999997</v>
      </c>
      <c r="H11" s="44">
        <v>7.1340000000000003</v>
      </c>
      <c r="I11" s="44">
        <v>6.0101000000000004</v>
      </c>
      <c r="J11" s="44">
        <v>7.2670000000000003</v>
      </c>
      <c r="K11" s="44">
        <v>9.6259999999999994</v>
      </c>
      <c r="L11" s="44">
        <f>M11/1.34</f>
        <v>12.537313432835822</v>
      </c>
      <c r="M11" s="44">
        <v>16.8</v>
      </c>
      <c r="N11" s="44">
        <v>21.2</v>
      </c>
      <c r="O11" s="44">
        <v>23.4</v>
      </c>
      <c r="P11" s="44">
        <v>22.7</v>
      </c>
      <c r="Q11" s="44">
        <v>26.04</v>
      </c>
      <c r="R11" s="44">
        <v>31.74</v>
      </c>
      <c r="S11" s="44">
        <v>36.6</v>
      </c>
      <c r="T11" s="190">
        <f>45.44*0.9</f>
        <v>40.896000000000001</v>
      </c>
      <c r="U11" s="190">
        <f>51.05*0.9</f>
        <v>45.945</v>
      </c>
      <c r="V11" s="190">
        <f>56.24*0.9</f>
        <v>50.616</v>
      </c>
      <c r="AA11" s="44">
        <v>36.6</v>
      </c>
      <c r="AC11" s="240">
        <v>50.616</v>
      </c>
      <c r="AH11" s="1">
        <v>2012</v>
      </c>
      <c r="AJ11" s="1">
        <v>2015</v>
      </c>
    </row>
    <row r="12" spans="1:37">
      <c r="A12" s="1" t="s">
        <v>146</v>
      </c>
      <c r="N12" s="44">
        <v>0.08</v>
      </c>
      <c r="O12" s="44">
        <v>0.16</v>
      </c>
      <c r="P12" s="44">
        <v>0.39200000000000002</v>
      </c>
      <c r="Q12" s="44">
        <v>0.80600000000000005</v>
      </c>
      <c r="R12" s="44">
        <v>1.5960000000000001</v>
      </c>
      <c r="S12" s="44">
        <v>3.37</v>
      </c>
      <c r="T12" s="190">
        <f>7.724*0.9</f>
        <v>6.9516</v>
      </c>
      <c r="U12" s="190">
        <f>12.031*0.9</f>
        <v>10.827900000000001</v>
      </c>
      <c r="V12" s="190">
        <f>17.192*0.9</f>
        <v>15.472800000000001</v>
      </c>
      <c r="W12" s="190"/>
      <c r="AA12" s="44">
        <v>3.37</v>
      </c>
      <c r="AC12" s="240">
        <v>15.472800000000001</v>
      </c>
      <c r="AH12" s="44">
        <f>AA10-AA13</f>
        <v>112.57430379746839</v>
      </c>
      <c r="AI12" s="95">
        <f>AH12/AH15</f>
        <v>0.73797776118164471</v>
      </c>
      <c r="AJ12" s="44">
        <f>AC10-AC13</f>
        <v>111.63420000000001</v>
      </c>
      <c r="AK12" s="95">
        <f>AJ12/AJ15</f>
        <v>0.628135919380159</v>
      </c>
    </row>
    <row r="13" spans="1:37">
      <c r="B13" s="106">
        <f>B11/B10</f>
        <v>6.7607711376533968E-4</v>
      </c>
      <c r="C13" s="106">
        <v>0.14911677000000001</v>
      </c>
      <c r="D13" s="106">
        <v>0.14911677000000001</v>
      </c>
      <c r="E13" s="106">
        <v>0.14911677000000001</v>
      </c>
      <c r="F13" s="106">
        <v>0.14911677000000001</v>
      </c>
      <c r="G13" s="106">
        <v>0.14911677000000001</v>
      </c>
      <c r="H13" s="106">
        <v>0.14911677000000001</v>
      </c>
      <c r="I13" s="1">
        <f t="shared" ref="I13:S13" si="1">I11/I10</f>
        <v>4.763716461338844E-2</v>
      </c>
      <c r="J13" s="1">
        <f t="shared" si="1"/>
        <v>5.5070552751633098E-2</v>
      </c>
      <c r="K13" s="1">
        <f t="shared" si="1"/>
        <v>6.7627284159647041E-2</v>
      </c>
      <c r="L13" s="1">
        <f t="shared" si="1"/>
        <v>8.4088688339591766E-2</v>
      </c>
      <c r="M13" s="1">
        <f t="shared" si="1"/>
        <v>0.10656585198764344</v>
      </c>
      <c r="N13" s="1">
        <f t="shared" si="1"/>
        <v>0.12918715684661464</v>
      </c>
      <c r="O13" s="1">
        <f t="shared" si="1"/>
        <v>0.1491167699013535</v>
      </c>
      <c r="P13" s="1">
        <f t="shared" si="1"/>
        <v>0.16177539588648643</v>
      </c>
      <c r="Q13" s="1">
        <f t="shared" si="1"/>
        <v>0.17642874081100307</v>
      </c>
      <c r="R13" s="1">
        <f t="shared" si="1"/>
        <v>0.21431282051282047</v>
      </c>
      <c r="S13" s="1">
        <f t="shared" si="1"/>
        <v>0.23993029624097581</v>
      </c>
      <c r="AA13" s="44">
        <f>AA12+AA11</f>
        <v>39.97</v>
      </c>
      <c r="AB13" s="44"/>
      <c r="AC13" s="44">
        <f t="shared" ref="AC13" si="2">AC12+AC11</f>
        <v>66.088800000000006</v>
      </c>
      <c r="AH13" s="44">
        <v>36.6</v>
      </c>
      <c r="AI13" s="95">
        <f>AH13/AH15</f>
        <v>0.23993029624097581</v>
      </c>
      <c r="AJ13" s="240">
        <v>50.616</v>
      </c>
      <c r="AK13" s="95">
        <f>AJ13/AJ15</f>
        <v>0.28480275484883777</v>
      </c>
    </row>
    <row r="14" spans="1:37">
      <c r="R14" s="95">
        <f>R12/R10</f>
        <v>1.0776410256410256E-2</v>
      </c>
      <c r="S14" s="95">
        <f>S12/S10</f>
        <v>2.2091942577379467E-2</v>
      </c>
      <c r="AH14" s="44">
        <v>3.37</v>
      </c>
      <c r="AI14" s="95">
        <f>AH14/AH15</f>
        <v>2.2091942577379467E-2</v>
      </c>
      <c r="AJ14" s="240">
        <v>15.472800000000001</v>
      </c>
      <c r="AK14" s="95">
        <f>AJ14/AJ15</f>
        <v>8.7061325771003187E-2</v>
      </c>
    </row>
    <row r="15" spans="1:37">
      <c r="R15" s="1">
        <f>R12/R11</f>
        <v>5.0283553875236302E-2</v>
      </c>
      <c r="S15" s="1">
        <f>S12/S11</f>
        <v>9.2076502732240439E-2</v>
      </c>
      <c r="AH15" s="44">
        <v>152.54430379746839</v>
      </c>
      <c r="AJ15" s="240">
        <v>177.72300000000001</v>
      </c>
    </row>
    <row r="18" spans="19:32">
      <c r="S18" s="95">
        <f>S12/R12-1</f>
        <v>1.1115288220551376</v>
      </c>
      <c r="AE18" s="1">
        <v>2012</v>
      </c>
      <c r="AF18" s="1">
        <v>2015</v>
      </c>
    </row>
    <row r="19" spans="19:32">
      <c r="AD19" s="1" t="s">
        <v>523</v>
      </c>
      <c r="AE19" s="95">
        <v>0.74</v>
      </c>
      <c r="AF19" s="95">
        <v>0.63</v>
      </c>
    </row>
    <row r="20" spans="19:32">
      <c r="AD20" s="1" t="s">
        <v>524</v>
      </c>
      <c r="AE20" s="95">
        <v>0.24</v>
      </c>
      <c r="AF20" s="95">
        <v>0.28000000000000003</v>
      </c>
    </row>
    <row r="21" spans="19:32">
      <c r="AD21" s="1" t="s">
        <v>146</v>
      </c>
      <c r="AE21" s="95">
        <v>0.02</v>
      </c>
      <c r="AF21" s="95">
        <v>0.09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opLeftCell="A4" workbookViewId="0">
      <selection activeCell="U46" sqref="U46"/>
    </sheetView>
  </sheetViews>
  <sheetFormatPr baseColWidth="10" defaultRowHeight="15" x14ac:dyDescent="0"/>
  <cols>
    <col min="1" max="1" width="14.6640625" bestFit="1" customWidth="1"/>
  </cols>
  <sheetData>
    <row r="1" spans="1:3">
      <c r="A1" s="244" t="s">
        <v>525</v>
      </c>
      <c r="B1" s="244"/>
      <c r="C1" s="244"/>
    </row>
    <row r="2" spans="1:3">
      <c r="B2" t="s">
        <v>526</v>
      </c>
      <c r="C2" t="s">
        <v>527</v>
      </c>
    </row>
    <row r="3" spans="1:3">
      <c r="A3" t="s">
        <v>528</v>
      </c>
      <c r="B3" s="17">
        <v>0.48</v>
      </c>
      <c r="C3" s="17">
        <v>0.43</v>
      </c>
    </row>
    <row r="4" spans="1:3">
      <c r="A4" t="s">
        <v>529</v>
      </c>
      <c r="B4" s="17">
        <v>0.21</v>
      </c>
      <c r="C4" s="17">
        <v>0.19</v>
      </c>
    </row>
    <row r="5" spans="1:3">
      <c r="A5" t="s">
        <v>146</v>
      </c>
      <c r="B5" s="17">
        <v>7.0000000000000007E-2</v>
      </c>
      <c r="C5" s="17">
        <v>0.15</v>
      </c>
    </row>
    <row r="6" spans="1:3">
      <c r="A6" t="s">
        <v>530</v>
      </c>
      <c r="B6" s="17">
        <v>7.0000000000000007E-2</v>
      </c>
      <c r="C6" s="17">
        <v>0.06</v>
      </c>
    </row>
    <row r="7" spans="1:3">
      <c r="A7" t="s">
        <v>531</v>
      </c>
      <c r="B7" s="17">
        <v>0.06</v>
      </c>
      <c r="C7" s="17">
        <v>7.0000000000000007E-2</v>
      </c>
    </row>
    <row r="8" spans="1:3">
      <c r="A8" t="s">
        <v>532</v>
      </c>
      <c r="B8" s="17">
        <v>0.05</v>
      </c>
      <c r="C8" s="17">
        <v>0.04</v>
      </c>
    </row>
    <row r="9" spans="1:3">
      <c r="A9" t="s">
        <v>533</v>
      </c>
      <c r="B9" s="17">
        <v>0.02</v>
      </c>
      <c r="C9" s="17">
        <v>0.02</v>
      </c>
    </row>
    <row r="10" spans="1:3">
      <c r="A10" t="s">
        <v>534</v>
      </c>
      <c r="B10" s="17">
        <v>0.03</v>
      </c>
      <c r="C10" s="17">
        <v>0.03</v>
      </c>
    </row>
    <row r="11" spans="1:3">
      <c r="A11" t="s">
        <v>133</v>
      </c>
      <c r="B11" s="32">
        <v>5.0000000000000001E-3</v>
      </c>
      <c r="C11" s="32">
        <v>4.0000000000000001E-3</v>
      </c>
    </row>
    <row r="12" spans="1:3">
      <c r="B12" s="17">
        <f>SUM(B3:B11)</f>
        <v>0.99500000000000022</v>
      </c>
      <c r="C12" s="17">
        <f>SUM(C3:C11)</f>
        <v>0.99400000000000022</v>
      </c>
    </row>
  </sheetData>
  <mergeCells count="1">
    <mergeCell ref="A1:C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5" workbookViewId="0"/>
  </sheetViews>
  <sheetFormatPr baseColWidth="10" defaultRowHeight="15" x14ac:dyDescent="0"/>
  <cols>
    <col min="1" max="1" width="26.33203125" customWidth="1"/>
    <col min="2" max="8" width="11" bestFit="1" customWidth="1"/>
    <col min="9" max="10" width="11.5" bestFit="1" customWidth="1"/>
  </cols>
  <sheetData>
    <row r="1" spans="1:11">
      <c r="A1" t="s">
        <v>97</v>
      </c>
      <c r="B1">
        <v>2010</v>
      </c>
      <c r="C1">
        <v>2011</v>
      </c>
      <c r="D1">
        <v>2012</v>
      </c>
      <c r="E1">
        <v>2013</v>
      </c>
      <c r="F1">
        <v>2014</v>
      </c>
      <c r="G1">
        <v>2015</v>
      </c>
      <c r="H1">
        <v>2016</v>
      </c>
      <c r="I1">
        <v>2017</v>
      </c>
      <c r="J1">
        <v>2018</v>
      </c>
      <c r="K1" t="s">
        <v>98</v>
      </c>
    </row>
    <row r="2" spans="1:11">
      <c r="A2" t="s">
        <v>99</v>
      </c>
      <c r="B2" s="11">
        <v>6.3</v>
      </c>
      <c r="C2" s="11">
        <v>630</v>
      </c>
      <c r="D2" s="11">
        <v>1260</v>
      </c>
      <c r="E2" s="11">
        <v>2520</v>
      </c>
      <c r="F2" s="11">
        <v>5166</v>
      </c>
      <c r="G2" s="11">
        <v>7140</v>
      </c>
      <c r="H2" s="11">
        <v>8862</v>
      </c>
      <c r="I2" s="11">
        <v>10920</v>
      </c>
      <c r="J2" s="11">
        <v>12642</v>
      </c>
      <c r="K2" t="s">
        <v>100</v>
      </c>
    </row>
    <row r="3" spans="1:11">
      <c r="A3" t="s">
        <v>101</v>
      </c>
    </row>
    <row r="39" spans="1:6">
      <c r="A39" t="s">
        <v>102</v>
      </c>
      <c r="C39" t="s">
        <v>103</v>
      </c>
    </row>
    <row r="40" spans="1:6">
      <c r="A40" t="s">
        <v>100</v>
      </c>
      <c r="C40" t="s">
        <v>104</v>
      </c>
    </row>
    <row r="41" spans="1:6">
      <c r="A41" t="s">
        <v>105</v>
      </c>
      <c r="C41" t="s">
        <v>106</v>
      </c>
    </row>
    <row r="42" spans="1:6">
      <c r="A42" t="s">
        <v>107</v>
      </c>
    </row>
    <row r="43" spans="1:6">
      <c r="A43" s="12" t="s">
        <v>83</v>
      </c>
    </row>
    <row r="44" spans="1:6">
      <c r="A44" t="s">
        <v>108</v>
      </c>
      <c r="E44">
        <v>800</v>
      </c>
      <c r="F44" s="13">
        <v>1500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G50"/>
  <sheetViews>
    <sheetView topLeftCell="A22" workbookViewId="0">
      <selection activeCell="U46" sqref="U46"/>
    </sheetView>
  </sheetViews>
  <sheetFormatPr baseColWidth="10" defaultRowHeight="15" x14ac:dyDescent="0"/>
  <cols>
    <col min="1" max="4" width="10.83203125" style="1"/>
    <col min="5" max="5" width="15" style="1" bestFit="1" customWidth="1"/>
    <col min="6" max="16384" width="10.83203125" style="1"/>
  </cols>
  <sheetData>
    <row r="13" spans="5:6">
      <c r="E13" s="1" t="s">
        <v>535</v>
      </c>
      <c r="F13" s="100">
        <v>3.5</v>
      </c>
    </row>
    <row r="14" spans="5:6">
      <c r="E14" s="1" t="s">
        <v>536</v>
      </c>
      <c r="F14" s="100">
        <v>0.75</v>
      </c>
    </row>
    <row r="28" spans="7:7">
      <c r="G28" s="1" t="s">
        <v>537</v>
      </c>
    </row>
    <row r="50" spans="1:1">
      <c r="A50" s="1" t="s">
        <v>538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M22"/>
  <sheetViews>
    <sheetView topLeftCell="B33" workbookViewId="0">
      <selection activeCell="U46" sqref="U46"/>
    </sheetView>
  </sheetViews>
  <sheetFormatPr baseColWidth="10" defaultRowHeight="15" x14ac:dyDescent="0"/>
  <cols>
    <col min="1" max="10" width="10.83203125" style="1"/>
    <col min="11" max="11" width="13.5" style="1" bestFit="1" customWidth="1"/>
    <col min="12" max="12" width="14.6640625" style="1" bestFit="1" customWidth="1"/>
    <col min="13" max="13" width="12.33203125" style="1" bestFit="1" customWidth="1"/>
    <col min="14" max="16384" width="10.83203125" style="1"/>
  </cols>
  <sheetData>
    <row r="6" spans="4:6">
      <c r="E6" s="1">
        <v>1.29</v>
      </c>
      <c r="F6" s="1">
        <f>1.29</f>
        <v>1.29</v>
      </c>
    </row>
    <row r="8" spans="4:6">
      <c r="E8" s="1">
        <v>2011</v>
      </c>
      <c r="F8" s="1">
        <v>2012</v>
      </c>
    </row>
    <row r="9" spans="4:6">
      <c r="D9" s="1" t="s">
        <v>539</v>
      </c>
      <c r="E9" s="1">
        <v>0.03</v>
      </c>
      <c r="F9" s="1">
        <v>0.1</v>
      </c>
    </row>
    <row r="10" spans="4:6">
      <c r="D10" s="1" t="s">
        <v>540</v>
      </c>
      <c r="E10" s="1">
        <v>0.1</v>
      </c>
      <c r="F10" s="1">
        <v>0.2</v>
      </c>
    </row>
    <row r="11" spans="4:6">
      <c r="D11" s="1" t="s">
        <v>541</v>
      </c>
      <c r="E11" s="1">
        <v>0.1</v>
      </c>
      <c r="F11" s="1">
        <v>0.2</v>
      </c>
    </row>
    <row r="12" spans="4:6">
      <c r="D12" s="1" t="s">
        <v>542</v>
      </c>
      <c r="E12" s="1">
        <v>0.6</v>
      </c>
      <c r="F12" s="1">
        <v>1</v>
      </c>
    </row>
    <row r="13" spans="4:6">
      <c r="D13" s="1" t="s">
        <v>543</v>
      </c>
      <c r="E13" s="1">
        <v>1.1000000000000001</v>
      </c>
      <c r="F13" s="1">
        <v>2.2000000000000002</v>
      </c>
    </row>
    <row r="14" spans="4:6">
      <c r="D14" s="1" t="s">
        <v>544</v>
      </c>
      <c r="E14" s="1">
        <v>3.5</v>
      </c>
      <c r="F14" s="1">
        <v>7.1</v>
      </c>
    </row>
    <row r="17" spans="4:13">
      <c r="D17" s="1" t="s">
        <v>539</v>
      </c>
      <c r="E17" s="101">
        <f>E9*E$6</f>
        <v>3.8699999999999998E-2</v>
      </c>
      <c r="F17" s="101">
        <f>F9*F$6</f>
        <v>0.129</v>
      </c>
    </row>
    <row r="18" spans="4:13">
      <c r="D18" s="1" t="s">
        <v>540</v>
      </c>
      <c r="E18" s="101">
        <f t="shared" ref="E18:F22" si="0">E10*E$6</f>
        <v>0.129</v>
      </c>
      <c r="F18" s="101">
        <f t="shared" si="0"/>
        <v>0.25800000000000001</v>
      </c>
      <c r="K18" s="1">
        <v>3400000000</v>
      </c>
      <c r="L18" s="1">
        <v>64540000000</v>
      </c>
      <c r="M18" s="1">
        <v>64540000000</v>
      </c>
    </row>
    <row r="19" spans="4:13">
      <c r="D19" s="1" t="s">
        <v>541</v>
      </c>
      <c r="E19" s="101">
        <f t="shared" si="0"/>
        <v>0.129</v>
      </c>
      <c r="F19" s="101">
        <f t="shared" si="0"/>
        <v>0.25800000000000001</v>
      </c>
      <c r="K19" s="1">
        <v>125900000</v>
      </c>
      <c r="L19" s="1">
        <v>313900000</v>
      </c>
      <c r="M19" s="1">
        <v>200000000</v>
      </c>
    </row>
    <row r="20" spans="4:13">
      <c r="D20" s="1" t="s">
        <v>542</v>
      </c>
      <c r="E20" s="101">
        <f t="shared" si="0"/>
        <v>0.77400000000000002</v>
      </c>
      <c r="F20" s="101">
        <f t="shared" si="0"/>
        <v>1.29</v>
      </c>
      <c r="K20" s="1">
        <f>K18/K19</f>
        <v>27.005559968228752</v>
      </c>
      <c r="L20" s="1">
        <f>L18/L19</f>
        <v>205.60688117234787</v>
      </c>
      <c r="M20" s="1">
        <f>M18/M19</f>
        <v>322.7</v>
      </c>
    </row>
    <row r="21" spans="4:13">
      <c r="D21" s="1" t="s">
        <v>543</v>
      </c>
      <c r="E21" s="101">
        <f t="shared" si="0"/>
        <v>1.4190000000000003</v>
      </c>
      <c r="F21" s="101">
        <f t="shared" si="0"/>
        <v>2.8380000000000005</v>
      </c>
    </row>
    <row r="22" spans="4:13">
      <c r="D22" s="1" t="s">
        <v>544</v>
      </c>
      <c r="E22" s="101">
        <f t="shared" si="0"/>
        <v>4.5150000000000006</v>
      </c>
      <c r="F22" s="101">
        <f t="shared" si="0"/>
        <v>9.1589999999999989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43" workbookViewId="0">
      <selection activeCell="U46" sqref="U46"/>
    </sheetView>
  </sheetViews>
  <sheetFormatPr baseColWidth="10" defaultRowHeight="15" x14ac:dyDescent="0"/>
  <cols>
    <col min="1" max="16384" width="10.83203125" style="1"/>
  </cols>
  <sheetData>
    <row r="1" spans="1:9">
      <c r="A1" s="1" t="s">
        <v>545</v>
      </c>
    </row>
    <row r="2" spans="1:9">
      <c r="B2" s="1" t="s">
        <v>44</v>
      </c>
      <c r="D2" s="1" t="s">
        <v>528</v>
      </c>
      <c r="E2" s="1" t="s">
        <v>546</v>
      </c>
      <c r="F2" s="1" t="s">
        <v>547</v>
      </c>
    </row>
    <row r="3" spans="1:9">
      <c r="A3" s="1">
        <v>2007</v>
      </c>
      <c r="B3" s="45">
        <v>271</v>
      </c>
      <c r="C3" s="95"/>
      <c r="D3" s="1">
        <f>0.47*B3</f>
        <v>127.36999999999999</v>
      </c>
      <c r="E3" s="1">
        <f>0.34*B3</f>
        <v>92.14</v>
      </c>
      <c r="F3" s="1">
        <f>0.19*B3</f>
        <v>51.49</v>
      </c>
    </row>
    <row r="4" spans="1:9">
      <c r="A4" s="1">
        <v>2008</v>
      </c>
      <c r="B4" s="45">
        <v>525</v>
      </c>
      <c r="C4" s="95">
        <f t="shared" ref="C4:C8" si="0">B4/B3-1</f>
        <v>0.9372693726937269</v>
      </c>
      <c r="D4" s="1">
        <f>0.49*B4</f>
        <v>257.25</v>
      </c>
      <c r="E4" s="1">
        <f>0.35*B4</f>
        <v>183.75</v>
      </c>
      <c r="F4" s="1">
        <f>0.16*B4</f>
        <v>84</v>
      </c>
    </row>
    <row r="5" spans="1:9">
      <c r="A5" s="1">
        <v>2009</v>
      </c>
      <c r="B5" s="45">
        <v>1199</v>
      </c>
      <c r="C5" s="95">
        <f t="shared" si="0"/>
        <v>1.283809523809524</v>
      </c>
      <c r="D5" s="1">
        <f>0.498*B5</f>
        <v>597.10199999999998</v>
      </c>
      <c r="E5" s="1">
        <f>0.358*B5</f>
        <v>429.24199999999996</v>
      </c>
      <c r="F5" s="1">
        <f>0.144*B5</f>
        <v>172.65599999999998</v>
      </c>
    </row>
    <row r="6" spans="1:9">
      <c r="A6" s="1">
        <v>2010</v>
      </c>
      <c r="B6" s="1">
        <v>2385</v>
      </c>
      <c r="C6" s="95">
        <f t="shared" si="0"/>
        <v>0.98915763135946633</v>
      </c>
      <c r="D6" s="1">
        <f>0.503*B6</f>
        <v>1199.655</v>
      </c>
      <c r="E6" s="1">
        <f>0.369*B6</f>
        <v>880.06499999999994</v>
      </c>
      <c r="F6" s="1">
        <f>0.128*B6</f>
        <v>305.28000000000003</v>
      </c>
    </row>
    <row r="7" spans="1:9">
      <c r="A7" s="1">
        <v>2011</v>
      </c>
      <c r="B7" s="1">
        <v>4840</v>
      </c>
      <c r="C7" s="95">
        <f t="shared" si="0"/>
        <v>1.0293501048218028</v>
      </c>
      <c r="D7" s="1">
        <f>0.511*B7</f>
        <v>2473.2400000000002</v>
      </c>
      <c r="E7" s="1">
        <f>0.378*B7</f>
        <v>1829.52</v>
      </c>
      <c r="F7" s="1">
        <f>0.111*B7</f>
        <v>537.24</v>
      </c>
    </row>
    <row r="8" spans="1:9">
      <c r="A8" s="1">
        <v>2012</v>
      </c>
      <c r="B8" s="1">
        <v>8850</v>
      </c>
      <c r="C8" s="95">
        <f t="shared" si="0"/>
        <v>0.82851239669421495</v>
      </c>
      <c r="D8" s="1">
        <f>B8*0.528</f>
        <v>4672.8</v>
      </c>
      <c r="E8" s="1">
        <f>B8*0.387</f>
        <v>3424.9500000000003</v>
      </c>
      <c r="F8" s="1">
        <f>B8*0.085</f>
        <v>752.25</v>
      </c>
      <c r="I8" s="1">
        <v>3</v>
      </c>
    </row>
    <row r="9" spans="1:9">
      <c r="A9" s="1" t="s">
        <v>113</v>
      </c>
      <c r="B9" s="1">
        <f>B8*(1+0.7)</f>
        <v>15045</v>
      </c>
      <c r="C9" s="95">
        <f>B9/B8-1</f>
        <v>0.7</v>
      </c>
      <c r="D9" s="1">
        <f>B9*0.537</f>
        <v>8079.1650000000009</v>
      </c>
      <c r="E9" s="1">
        <f>B9*0.4</f>
        <v>6018</v>
      </c>
      <c r="F9" s="1">
        <f>B9*0.063</f>
        <v>947.83500000000004</v>
      </c>
    </row>
    <row r="10" spans="1:9">
      <c r="C10" s="95"/>
      <c r="D10" s="102">
        <f>D9/$B$9</f>
        <v>0.53700000000000003</v>
      </c>
      <c r="E10" s="95">
        <f t="shared" ref="E10:F10" si="1">E9/$B$9</f>
        <v>0.4</v>
      </c>
      <c r="F10" s="95">
        <f t="shared" si="1"/>
        <v>6.3E-2</v>
      </c>
    </row>
    <row r="11" spans="1:9">
      <c r="B11" s="44">
        <v>6840</v>
      </c>
      <c r="C11" s="95"/>
    </row>
    <row r="12" spans="1:9">
      <c r="B12" s="103">
        <f>B11/B9</f>
        <v>0.4546360917248255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topLeftCell="A79" workbookViewId="0">
      <selection activeCell="U46" sqref="U46"/>
    </sheetView>
  </sheetViews>
  <sheetFormatPr baseColWidth="10" defaultRowHeight="13" x14ac:dyDescent="0"/>
  <cols>
    <col min="1" max="16384" width="10.83203125" style="104"/>
  </cols>
  <sheetData>
    <row r="1" spans="1:9">
      <c r="A1" s="104" t="s">
        <v>141</v>
      </c>
      <c r="B1" s="104" t="s">
        <v>565</v>
      </c>
    </row>
    <row r="3" spans="1:9">
      <c r="D3" s="104" t="s">
        <v>564</v>
      </c>
      <c r="E3" s="104" t="s">
        <v>563</v>
      </c>
      <c r="F3" s="104" t="s">
        <v>562</v>
      </c>
      <c r="G3" s="104" t="s">
        <v>561</v>
      </c>
      <c r="H3" s="104" t="s">
        <v>560</v>
      </c>
      <c r="I3" s="104" t="s">
        <v>39</v>
      </c>
    </row>
    <row r="4" spans="1:9" ht="15">
      <c r="C4" s="109" t="s">
        <v>362</v>
      </c>
      <c r="D4" s="110">
        <v>0.95909999999999995</v>
      </c>
      <c r="E4" s="110">
        <v>3.6900000000000002E-2</v>
      </c>
      <c r="F4" s="110">
        <v>0</v>
      </c>
      <c r="G4" s="110">
        <v>8.0000000000000004E-4</v>
      </c>
      <c r="H4" s="110">
        <v>1E-3</v>
      </c>
      <c r="I4" s="110">
        <v>2.0999999999999999E-3</v>
      </c>
    </row>
    <row r="5" spans="1:9" ht="15">
      <c r="C5" s="105" t="s">
        <v>559</v>
      </c>
      <c r="D5" s="110">
        <v>0.96090000000000009</v>
      </c>
      <c r="E5" s="110">
        <v>3.5200000000000002E-2</v>
      </c>
      <c r="F5" s="110">
        <v>0</v>
      </c>
      <c r="G5" s="110">
        <v>7.000000000000001E-4</v>
      </c>
      <c r="H5" s="110">
        <v>1.1000000000000001E-3</v>
      </c>
      <c r="I5" s="110">
        <v>2.0999999999999999E-3</v>
      </c>
    </row>
    <row r="6" spans="1:9" ht="15">
      <c r="C6" s="105" t="s">
        <v>558</v>
      </c>
      <c r="D6" s="110">
        <v>0.96530000000000005</v>
      </c>
      <c r="E6" s="110">
        <v>3.1200000000000002E-2</v>
      </c>
      <c r="F6" s="110">
        <v>0</v>
      </c>
      <c r="G6" s="110">
        <v>5.0000000000000001E-4</v>
      </c>
      <c r="H6" s="110">
        <v>1.1999999999999999E-3</v>
      </c>
      <c r="I6" s="110">
        <v>1.8E-3</v>
      </c>
    </row>
    <row r="7" spans="1:9" ht="15">
      <c r="C7" s="105" t="s">
        <v>557</v>
      </c>
      <c r="D7" s="110">
        <v>0.96420000000000006</v>
      </c>
      <c r="E7" s="110">
        <v>3.2199999999999999E-2</v>
      </c>
      <c r="F7" s="110">
        <v>0</v>
      </c>
      <c r="G7" s="110">
        <v>4.0000000000000002E-4</v>
      </c>
      <c r="H7" s="110">
        <v>1.1999999999999999E-3</v>
      </c>
      <c r="I7" s="110">
        <v>2E-3</v>
      </c>
    </row>
    <row r="8" spans="1:9" ht="15">
      <c r="C8" s="105" t="s">
        <v>556</v>
      </c>
      <c r="D8" s="110">
        <v>0.96299999999999997</v>
      </c>
      <c r="E8" s="110">
        <v>3.2599999999999997E-2</v>
      </c>
      <c r="F8" s="110">
        <v>0</v>
      </c>
      <c r="G8" s="110">
        <v>1E-3</v>
      </c>
      <c r="H8" s="110">
        <v>1E-3</v>
      </c>
      <c r="I8" s="110">
        <v>2.5000000000000001E-3</v>
      </c>
    </row>
    <row r="9" spans="1:9" ht="15">
      <c r="C9" s="105" t="s">
        <v>555</v>
      </c>
      <c r="D9" s="110">
        <v>0.9637</v>
      </c>
      <c r="E9" s="110">
        <v>3.0600000000000002E-2</v>
      </c>
      <c r="F9" s="110">
        <v>0</v>
      </c>
      <c r="G9" s="110">
        <v>2E-3</v>
      </c>
      <c r="H9" s="110">
        <v>1E-3</v>
      </c>
      <c r="I9" s="110">
        <v>2.7000000000000001E-3</v>
      </c>
    </row>
    <row r="10" spans="1:9" ht="15">
      <c r="C10" s="105" t="s">
        <v>554</v>
      </c>
      <c r="D10" s="110">
        <v>0.95860000000000001</v>
      </c>
      <c r="E10" s="110">
        <v>3.3399999999999999E-2</v>
      </c>
      <c r="F10" s="110">
        <v>2.0999999999999999E-3</v>
      </c>
      <c r="G10" s="110">
        <v>2.3E-3</v>
      </c>
      <c r="H10" s="110">
        <v>1.2999999999999999E-3</v>
      </c>
      <c r="I10" s="110">
        <v>2.3E-3</v>
      </c>
    </row>
    <row r="11" spans="1:9" ht="15">
      <c r="C11" s="105" t="s">
        <v>553</v>
      </c>
      <c r="D11" s="110">
        <v>0.95550000000000002</v>
      </c>
      <c r="E11" s="110">
        <v>3.4599999999999999E-2</v>
      </c>
      <c r="F11" s="110">
        <v>2.7000000000000001E-3</v>
      </c>
      <c r="G11" s="110">
        <v>3.3E-3</v>
      </c>
      <c r="H11" s="110">
        <v>1.1999999999999999E-3</v>
      </c>
      <c r="I11" s="110">
        <v>2.7000000000000001E-3</v>
      </c>
    </row>
    <row r="12" spans="1:9" ht="15">
      <c r="C12" s="105" t="s">
        <v>552</v>
      </c>
      <c r="D12" s="110">
        <v>0.95579999999999998</v>
      </c>
      <c r="E12" s="110">
        <v>2.9900000000000003E-2</v>
      </c>
      <c r="F12" s="110">
        <v>3.4999999999999996E-3</v>
      </c>
      <c r="G12" s="110">
        <v>6.6E-3</v>
      </c>
      <c r="H12" s="110">
        <v>1.2999999999999999E-3</v>
      </c>
      <c r="I12" s="110">
        <v>2.8999999999999998E-3</v>
      </c>
    </row>
    <row r="13" spans="1:9" ht="15">
      <c r="C13" s="105" t="s">
        <v>551</v>
      </c>
      <c r="D13" s="110">
        <v>0.96760000000000002</v>
      </c>
      <c r="E13" s="110">
        <v>1.8600000000000002E-2</v>
      </c>
      <c r="F13" s="110">
        <v>4.0000000000000001E-3</v>
      </c>
      <c r="G13" s="110">
        <v>6.0999999999999995E-3</v>
      </c>
      <c r="H13" s="110">
        <v>1.1000000000000001E-3</v>
      </c>
      <c r="I13" s="110">
        <v>2.5999999999999999E-3</v>
      </c>
    </row>
    <row r="14" spans="1:9" ht="15">
      <c r="C14" s="105" t="s">
        <v>550</v>
      </c>
      <c r="D14" s="110">
        <v>0.9627</v>
      </c>
      <c r="E14" s="110">
        <v>2.1600000000000001E-2</v>
      </c>
      <c r="F14" s="110">
        <v>4.0000000000000001E-3</v>
      </c>
      <c r="G14" s="110">
        <v>8.199999999999999E-3</v>
      </c>
      <c r="H14" s="110">
        <v>1.1999999999999999E-3</v>
      </c>
      <c r="I14" s="110">
        <v>2.3E-3</v>
      </c>
    </row>
    <row r="15" spans="1:9" ht="15">
      <c r="C15" s="105" t="s">
        <v>549</v>
      </c>
      <c r="D15" s="110">
        <v>0.97189999999999999</v>
      </c>
      <c r="E15" s="110">
        <v>1.52E-2</v>
      </c>
      <c r="F15" s="110">
        <v>3.9000000000000003E-3</v>
      </c>
      <c r="G15" s="110">
        <v>5.6999999999999993E-3</v>
      </c>
      <c r="H15" s="110">
        <v>1.4000000000000002E-3</v>
      </c>
      <c r="I15" s="110">
        <v>1.8E-3</v>
      </c>
    </row>
    <row r="16" spans="1:9" ht="15">
      <c r="C16" s="105" t="s">
        <v>364</v>
      </c>
      <c r="D16" s="110">
        <v>0.97560000000000002</v>
      </c>
      <c r="E16" s="110">
        <v>1.2800000000000001E-2</v>
      </c>
      <c r="F16" s="110">
        <v>4.1999999999999997E-3</v>
      </c>
      <c r="G16" s="110">
        <v>4.3E-3</v>
      </c>
      <c r="H16" s="110">
        <v>1.4000000000000002E-3</v>
      </c>
      <c r="I16" s="110">
        <v>1.6000000000000001E-3</v>
      </c>
    </row>
    <row r="17" spans="3:9" ht="15">
      <c r="C17" s="105" t="s">
        <v>480</v>
      </c>
      <c r="D17" s="110">
        <v>0.97650000000000003</v>
      </c>
      <c r="E17" s="110">
        <v>1.1699999999999999E-2</v>
      </c>
      <c r="F17" s="110">
        <v>4.3E-3</v>
      </c>
      <c r="G17" s="110">
        <v>4.0000000000000001E-3</v>
      </c>
      <c r="H17" s="110">
        <v>1.8E-3</v>
      </c>
      <c r="I17" s="110">
        <v>1.7000000000000001E-3</v>
      </c>
    </row>
    <row r="18" spans="3:9" ht="15">
      <c r="C18" s="105" t="s">
        <v>481</v>
      </c>
      <c r="D18" s="110">
        <v>0.98069999999999991</v>
      </c>
      <c r="E18" s="110">
        <v>8.8999999999999999E-3</v>
      </c>
      <c r="F18" s="110">
        <v>4.0000000000000001E-3</v>
      </c>
      <c r="G18" s="110">
        <v>3.4000000000000002E-3</v>
      </c>
      <c r="H18" s="110">
        <v>1.6000000000000001E-3</v>
      </c>
      <c r="I18" s="110">
        <v>1.4000000000000002E-3</v>
      </c>
    </row>
    <row r="19" spans="3:9" ht="15">
      <c r="C19" s="105" t="s">
        <v>482</v>
      </c>
      <c r="D19" s="110">
        <v>0.98260000000000003</v>
      </c>
      <c r="E19" s="110">
        <v>8.199999999999999E-3</v>
      </c>
      <c r="F19" s="110">
        <v>4.0000000000000001E-3</v>
      </c>
      <c r="G19" s="110">
        <v>2.3E-3</v>
      </c>
      <c r="H19" s="110">
        <v>1.4000000000000002E-3</v>
      </c>
      <c r="I19" s="110">
        <v>1.4000000000000002E-3</v>
      </c>
    </row>
    <row r="20" spans="3:9" ht="15">
      <c r="C20" s="105" t="s">
        <v>483</v>
      </c>
      <c r="D20" s="110">
        <v>0.98290000000000011</v>
      </c>
      <c r="E20" s="110">
        <v>8.3999999999999995E-3</v>
      </c>
      <c r="F20" s="110">
        <v>4.0000000000000001E-3</v>
      </c>
      <c r="G20" s="110">
        <v>2E-3</v>
      </c>
      <c r="H20" s="110">
        <v>1.2999999999999999E-3</v>
      </c>
      <c r="I20" s="110">
        <v>1.4000000000000002E-3</v>
      </c>
    </row>
    <row r="21" spans="3:9" ht="15">
      <c r="C21" s="105" t="s">
        <v>484</v>
      </c>
      <c r="D21" s="110">
        <v>0.98269999999999991</v>
      </c>
      <c r="E21" s="110">
        <v>8.6999999999999994E-3</v>
      </c>
      <c r="F21" s="110">
        <v>3.9000000000000003E-3</v>
      </c>
      <c r="G21" s="110">
        <v>2.0999999999999999E-3</v>
      </c>
      <c r="H21" s="110">
        <v>1.1999999999999999E-3</v>
      </c>
      <c r="I21" s="110">
        <v>1.2999999999999999E-3</v>
      </c>
    </row>
    <row r="22" spans="3:9" ht="15">
      <c r="C22" s="105" t="s">
        <v>485</v>
      </c>
      <c r="D22" s="110">
        <v>0.98239999999999994</v>
      </c>
      <c r="E22" s="110">
        <v>8.8999999999999999E-3</v>
      </c>
      <c r="F22" s="110">
        <v>4.0000000000000001E-3</v>
      </c>
      <c r="G22" s="110">
        <v>2.0999999999999999E-3</v>
      </c>
      <c r="H22" s="110">
        <v>1.2999999999999999E-3</v>
      </c>
      <c r="I22" s="110">
        <v>1.2999999999999999E-3</v>
      </c>
    </row>
    <row r="23" spans="3:9" ht="15">
      <c r="C23" s="105" t="s">
        <v>486</v>
      </c>
      <c r="D23" s="110">
        <v>0.98299999999999998</v>
      </c>
      <c r="E23" s="110">
        <v>8.0000000000000002E-3</v>
      </c>
      <c r="F23" s="110">
        <v>4.5999999999999999E-3</v>
      </c>
      <c r="G23" s="110">
        <v>2E-3</v>
      </c>
      <c r="H23" s="110">
        <v>1.1999999999999999E-3</v>
      </c>
      <c r="I23" s="110">
        <v>1.1000000000000001E-3</v>
      </c>
    </row>
    <row r="24" spans="3:9" ht="15">
      <c r="C24" s="105" t="s">
        <v>487</v>
      </c>
      <c r="D24" s="110">
        <v>0.9839</v>
      </c>
      <c r="E24" s="110">
        <v>7.7000000000000002E-3</v>
      </c>
      <c r="F24" s="110">
        <v>4.0999999999999995E-3</v>
      </c>
      <c r="G24" s="110">
        <v>2.0999999999999999E-3</v>
      </c>
      <c r="H24" s="110">
        <v>1.1000000000000001E-3</v>
      </c>
      <c r="I24" s="110">
        <v>1.1000000000000001E-3</v>
      </c>
    </row>
    <row r="25" spans="3:9" ht="15">
      <c r="C25" s="105" t="s">
        <v>488</v>
      </c>
      <c r="D25" s="110">
        <v>0.98340000000000005</v>
      </c>
      <c r="E25" s="110">
        <v>7.9000000000000008E-3</v>
      </c>
      <c r="F25" s="110">
        <v>4.3E-3</v>
      </c>
      <c r="G25" s="110">
        <v>2.3E-3</v>
      </c>
      <c r="H25" s="110">
        <v>1.1000000000000001E-3</v>
      </c>
      <c r="I25" s="110">
        <v>1.1000000000000001E-3</v>
      </c>
    </row>
    <row r="26" spans="3:9" ht="15">
      <c r="C26" s="105" t="s">
        <v>489</v>
      </c>
      <c r="D26" s="110">
        <v>0.97459999999999991</v>
      </c>
      <c r="E26" s="110">
        <v>1.6E-2</v>
      </c>
      <c r="F26" s="110">
        <v>5.1000000000000004E-3</v>
      </c>
      <c r="G26" s="110">
        <v>2.3E-3</v>
      </c>
      <c r="H26" s="110">
        <v>1.1000000000000001E-3</v>
      </c>
      <c r="I26" s="110">
        <v>8.9999999999999998E-4</v>
      </c>
    </row>
    <row r="27" spans="3:9" ht="15">
      <c r="C27" s="105" t="s">
        <v>490</v>
      </c>
      <c r="D27" s="110">
        <v>0.9729000000000001</v>
      </c>
      <c r="E27" s="110">
        <v>1.7600000000000001E-2</v>
      </c>
      <c r="F27" s="110">
        <v>5.1999999999999998E-3</v>
      </c>
      <c r="G27" s="110">
        <v>2.2000000000000001E-3</v>
      </c>
      <c r="H27" s="110">
        <v>1E-3</v>
      </c>
      <c r="I27" s="110">
        <v>1E-3</v>
      </c>
    </row>
    <row r="28" spans="3:9" ht="15">
      <c r="C28" s="105" t="s">
        <v>366</v>
      </c>
      <c r="D28" s="110">
        <v>0.97319999999999995</v>
      </c>
      <c r="E28" s="110">
        <v>1.78E-2</v>
      </c>
      <c r="F28" s="110">
        <v>5.1999999999999998E-3</v>
      </c>
      <c r="G28" s="110">
        <v>2E-3</v>
      </c>
      <c r="H28" s="110">
        <v>1E-3</v>
      </c>
      <c r="I28" s="110">
        <v>8.0000000000000004E-4</v>
      </c>
    </row>
    <row r="29" spans="3:9" ht="15">
      <c r="C29" s="105" t="s">
        <v>491</v>
      </c>
      <c r="D29" s="110">
        <v>0.97409999999999997</v>
      </c>
      <c r="E29" s="110">
        <v>1.7100000000000001E-2</v>
      </c>
      <c r="F29" s="110">
        <v>5.1999999999999998E-3</v>
      </c>
      <c r="G29" s="110">
        <v>1.8E-3</v>
      </c>
      <c r="H29" s="110">
        <v>1.1000000000000001E-3</v>
      </c>
      <c r="I29" s="110">
        <v>7.000000000000001E-4</v>
      </c>
    </row>
    <row r="30" spans="3:9" ht="15">
      <c r="C30" s="105" t="s">
        <v>492</v>
      </c>
      <c r="D30" s="110">
        <v>0.97209999999999996</v>
      </c>
      <c r="E30" s="110">
        <v>1.6299999999999999E-2</v>
      </c>
      <c r="F30" s="110">
        <v>7.7000000000000002E-3</v>
      </c>
      <c r="G30" s="110">
        <v>2E-3</v>
      </c>
      <c r="H30" s="110">
        <v>1.1000000000000001E-3</v>
      </c>
      <c r="I30" s="110">
        <v>7.000000000000001E-4</v>
      </c>
    </row>
    <row r="31" spans="3:9" ht="15">
      <c r="C31" s="105" t="s">
        <v>493</v>
      </c>
      <c r="D31" s="110">
        <v>0.97089999999999999</v>
      </c>
      <c r="E31" s="110">
        <v>1.6899999999999998E-2</v>
      </c>
      <c r="F31" s="110">
        <v>8.1000000000000013E-3</v>
      </c>
      <c r="G31" s="110">
        <v>2.3E-3</v>
      </c>
      <c r="H31" s="110">
        <v>1.1999999999999999E-3</v>
      </c>
      <c r="I31" s="110">
        <v>5.9999999999999995E-4</v>
      </c>
    </row>
    <row r="32" spans="3:9" ht="15">
      <c r="C32" s="105" t="s">
        <v>494</v>
      </c>
      <c r="D32" s="110">
        <v>0.9729000000000001</v>
      </c>
      <c r="E32" s="110">
        <v>1.7100000000000001E-2</v>
      </c>
      <c r="F32" s="110">
        <v>6.0999999999999995E-3</v>
      </c>
      <c r="G32" s="110">
        <v>2.0999999999999999E-3</v>
      </c>
      <c r="H32" s="110">
        <v>1.1000000000000001E-3</v>
      </c>
      <c r="I32" s="110">
        <v>8.0000000000000004E-4</v>
      </c>
    </row>
    <row r="33" spans="3:17" ht="15">
      <c r="C33" s="105" t="s">
        <v>495</v>
      </c>
      <c r="D33" s="110">
        <v>0.97389999999999999</v>
      </c>
      <c r="E33" s="110">
        <v>1.72E-2</v>
      </c>
      <c r="F33" s="110">
        <v>6.0000000000000001E-3</v>
      </c>
      <c r="G33" s="110">
        <v>1.6000000000000001E-3</v>
      </c>
      <c r="H33" s="110">
        <v>7.000000000000001E-4</v>
      </c>
      <c r="I33" s="110">
        <v>5.9999999999999995E-4</v>
      </c>
    </row>
    <row r="34" spans="3:17" ht="15">
      <c r="C34" s="105" t="s">
        <v>496</v>
      </c>
      <c r="D34" s="110">
        <v>0.9738</v>
      </c>
      <c r="E34" s="110">
        <v>1.7399999999999999E-2</v>
      </c>
      <c r="F34" s="110">
        <v>5.7999999999999996E-3</v>
      </c>
      <c r="G34" s="110">
        <v>1.5E-3</v>
      </c>
      <c r="H34" s="110">
        <v>7.000000000000001E-4</v>
      </c>
      <c r="I34" s="110">
        <v>7.000000000000001E-4</v>
      </c>
    </row>
    <row r="35" spans="3:17" ht="15">
      <c r="C35" s="105" t="s">
        <v>497</v>
      </c>
      <c r="D35" s="110">
        <v>0.97409999999999997</v>
      </c>
      <c r="E35" s="110">
        <v>1.6799999999999999E-2</v>
      </c>
      <c r="F35" s="110">
        <v>6.3E-3</v>
      </c>
      <c r="G35" s="110">
        <v>1.4000000000000002E-3</v>
      </c>
      <c r="H35" s="110">
        <v>7.000000000000001E-4</v>
      </c>
      <c r="I35" s="110">
        <v>7.000000000000001E-4</v>
      </c>
    </row>
    <row r="36" spans="3:17" ht="15">
      <c r="C36" s="105" t="s">
        <v>498</v>
      </c>
      <c r="D36" s="110">
        <v>0.97470000000000001</v>
      </c>
      <c r="E36" s="110">
        <v>1.6399999999999998E-2</v>
      </c>
      <c r="F36" s="110">
        <v>6.0000000000000001E-3</v>
      </c>
      <c r="G36" s="110">
        <v>1.4000000000000002E-3</v>
      </c>
      <c r="H36" s="110">
        <v>8.0000000000000004E-4</v>
      </c>
      <c r="I36" s="110">
        <v>7.000000000000001E-4</v>
      </c>
    </row>
    <row r="37" spans="3:17" ht="15">
      <c r="C37" s="105" t="s">
        <v>499</v>
      </c>
      <c r="D37" s="110">
        <v>0.97430000000000005</v>
      </c>
      <c r="E37" s="110">
        <v>1.6899999999999998E-2</v>
      </c>
      <c r="F37" s="110">
        <v>6.0000000000000001E-3</v>
      </c>
      <c r="G37" s="110">
        <v>1.4000000000000002E-3</v>
      </c>
      <c r="H37" s="110">
        <v>7.000000000000001E-4</v>
      </c>
      <c r="I37" s="110">
        <v>5.9999999999999995E-4</v>
      </c>
    </row>
    <row r="38" spans="3:17" ht="15">
      <c r="C38" s="105" t="s">
        <v>500</v>
      </c>
      <c r="D38" s="110">
        <v>0.97349999999999992</v>
      </c>
      <c r="E38" s="110">
        <v>1.72E-2</v>
      </c>
      <c r="F38" s="110">
        <v>6.4000000000000003E-3</v>
      </c>
      <c r="G38" s="110">
        <v>1.5E-3</v>
      </c>
      <c r="H38" s="110">
        <v>8.0000000000000004E-4</v>
      </c>
      <c r="I38" s="110">
        <v>5.9999999999999995E-4</v>
      </c>
    </row>
    <row r="39" spans="3:17" ht="15">
      <c r="C39" s="105" t="s">
        <v>501</v>
      </c>
      <c r="D39" s="110">
        <v>0.97170000000000001</v>
      </c>
      <c r="E39" s="110">
        <v>1.8000000000000002E-2</v>
      </c>
      <c r="F39" s="110">
        <v>7.0999999999999995E-3</v>
      </c>
      <c r="G39" s="110">
        <v>1.8E-3</v>
      </c>
      <c r="H39" s="110">
        <v>8.9999999999999998E-4</v>
      </c>
      <c r="I39" s="110">
        <v>4.0000000000000002E-4</v>
      </c>
    </row>
    <row r="40" spans="3:17" ht="15">
      <c r="C40" s="105" t="s">
        <v>368</v>
      </c>
      <c r="D40" s="110">
        <v>0.97260000000000002</v>
      </c>
      <c r="E40" s="110">
        <v>1.7399999999999999E-2</v>
      </c>
      <c r="F40" s="110">
        <v>6.7000000000000002E-3</v>
      </c>
      <c r="G40" s="110">
        <v>1.7000000000000001E-3</v>
      </c>
      <c r="H40" s="110">
        <v>1.1999999999999999E-3</v>
      </c>
      <c r="I40" s="110">
        <v>4.0000000000000002E-4</v>
      </c>
      <c r="Q40" s="104" t="s">
        <v>538</v>
      </c>
    </row>
    <row r="41" spans="3:17" ht="15">
      <c r="C41" s="105" t="s">
        <v>272</v>
      </c>
      <c r="D41" s="110">
        <v>0.97189999999999999</v>
      </c>
      <c r="E41" s="110">
        <v>1.78E-2</v>
      </c>
      <c r="F41" s="110">
        <v>6.3E-3</v>
      </c>
      <c r="G41" s="110">
        <v>1.7000000000000001E-3</v>
      </c>
      <c r="H41" s="110">
        <v>1.9E-3</v>
      </c>
      <c r="I41" s="110">
        <v>4.0000000000000002E-4</v>
      </c>
    </row>
    <row r="42" spans="3:17" ht="15">
      <c r="C42" s="105" t="s">
        <v>502</v>
      </c>
      <c r="D42" s="110">
        <v>0.9708</v>
      </c>
      <c r="E42" s="110">
        <v>1.8700000000000001E-2</v>
      </c>
      <c r="F42" s="110">
        <v>6.5000000000000006E-3</v>
      </c>
      <c r="G42" s="110">
        <v>1.6000000000000001E-3</v>
      </c>
      <c r="H42" s="110">
        <v>2E-3</v>
      </c>
      <c r="I42" s="110">
        <v>4.0000000000000002E-4</v>
      </c>
    </row>
    <row r="43" spans="3:17" ht="15">
      <c r="C43" s="105" t="s">
        <v>503</v>
      </c>
      <c r="D43" s="110">
        <v>0.97049999999999992</v>
      </c>
      <c r="E43" s="110">
        <v>1.9E-2</v>
      </c>
      <c r="F43" s="110">
        <v>6.4000000000000003E-3</v>
      </c>
      <c r="G43" s="110">
        <v>1.8E-3</v>
      </c>
      <c r="H43" s="110">
        <v>1.9E-3</v>
      </c>
      <c r="I43" s="110">
        <v>4.0000000000000002E-4</v>
      </c>
    </row>
    <row r="44" spans="3:17" ht="15">
      <c r="C44" s="105" t="s">
        <v>504</v>
      </c>
      <c r="D44" s="110">
        <v>0.96930000000000005</v>
      </c>
      <c r="E44" s="110">
        <v>0.02</v>
      </c>
      <c r="F44" s="110">
        <v>6.5000000000000006E-3</v>
      </c>
      <c r="G44" s="110">
        <v>1.8E-3</v>
      </c>
      <c r="H44" s="110">
        <v>2E-3</v>
      </c>
      <c r="I44" s="110">
        <v>4.0000000000000002E-4</v>
      </c>
    </row>
    <row r="45" spans="3:17" ht="15">
      <c r="C45" s="105" t="s">
        <v>320</v>
      </c>
      <c r="D45" s="110">
        <v>0.96900000000000008</v>
      </c>
      <c r="E45" s="110">
        <v>2.0199999999999999E-2</v>
      </c>
      <c r="F45" s="110">
        <v>6.8000000000000005E-3</v>
      </c>
      <c r="G45" s="110">
        <v>1.8E-3</v>
      </c>
      <c r="H45" s="110">
        <v>2E-3</v>
      </c>
      <c r="I45" s="110">
        <v>2.9999999999999997E-4</v>
      </c>
    </row>
    <row r="46" spans="3:17" ht="15">
      <c r="C46" s="109" t="s">
        <v>548</v>
      </c>
      <c r="D46" s="108">
        <v>0.9698</v>
      </c>
      <c r="E46" s="108">
        <v>1.9900000000000001E-2</v>
      </c>
      <c r="F46" s="108">
        <v>6.4000000000000003E-3</v>
      </c>
      <c r="G46" s="108">
        <v>1.5E-3</v>
      </c>
      <c r="H46" s="108">
        <v>2.0999999999999999E-3</v>
      </c>
      <c r="I46" s="108">
        <v>2.9999999999999997E-4</v>
      </c>
    </row>
    <row r="47" spans="3:17" ht="15">
      <c r="C47" s="105" t="s">
        <v>322</v>
      </c>
      <c r="D47" s="108">
        <v>0.9698</v>
      </c>
      <c r="E47" s="108">
        <v>0.02</v>
      </c>
      <c r="F47" s="108">
        <v>6.6E-3</v>
      </c>
      <c r="G47" s="108">
        <v>2E-3</v>
      </c>
      <c r="H47" s="108">
        <v>1.2999999999999999E-3</v>
      </c>
      <c r="I47" s="108">
        <v>2.9999999999999997E-4</v>
      </c>
    </row>
    <row r="48" spans="3:17" ht="15">
      <c r="C48" s="105" t="s">
        <v>323</v>
      </c>
      <c r="D48" s="108">
        <v>0.96930000000000005</v>
      </c>
      <c r="E48" s="108">
        <v>2.0299999999999999E-2</v>
      </c>
      <c r="F48" s="108">
        <v>6.8999999999999999E-3</v>
      </c>
      <c r="G48" s="108">
        <v>1.9E-3</v>
      </c>
      <c r="H48" s="108">
        <v>1.1999999999999999E-3</v>
      </c>
      <c r="I48" s="108">
        <v>4.0000000000000002E-4</v>
      </c>
    </row>
    <row r="49" spans="3:9" ht="15">
      <c r="C49" s="109" t="s">
        <v>324</v>
      </c>
      <c r="D49" s="108">
        <v>0.96640000000000004</v>
      </c>
      <c r="E49" s="108">
        <v>2.1700000000000001E-2</v>
      </c>
      <c r="F49" s="108">
        <v>7.4000000000000003E-3</v>
      </c>
      <c r="G49" s="108">
        <v>2E-3</v>
      </c>
      <c r="H49" s="108">
        <v>1.2999999999999999E-3</v>
      </c>
      <c r="I49" s="108">
        <v>1.1999999999999999E-3</v>
      </c>
    </row>
    <row r="50" spans="3:9" ht="15">
      <c r="C50" s="105" t="s">
        <v>325</v>
      </c>
      <c r="D50" s="108">
        <v>0.96</v>
      </c>
      <c r="E50" s="108">
        <v>2.6000000000000002E-2</v>
      </c>
      <c r="F50" s="108">
        <v>9.0000000000000011E-3</v>
      </c>
      <c r="G50" s="108">
        <v>1.7000000000000001E-3</v>
      </c>
      <c r="H50" s="108">
        <v>1.5E-3</v>
      </c>
      <c r="I50" s="108">
        <v>1.8E-3</v>
      </c>
    </row>
    <row r="51" spans="3:9" ht="15">
      <c r="C51" s="105" t="s">
        <v>326</v>
      </c>
      <c r="D51" s="108">
        <v>0.95979999999999999</v>
      </c>
      <c r="E51" s="108">
        <v>2.7199999999999998E-2</v>
      </c>
      <c r="F51" s="108">
        <v>8.3999999999999995E-3</v>
      </c>
    </row>
    <row r="52" spans="3:9" ht="15">
      <c r="C52" s="105" t="s">
        <v>327</v>
      </c>
      <c r="D52" s="108">
        <v>0.95799999999999996</v>
      </c>
      <c r="E52" s="108">
        <v>2.92E-2</v>
      </c>
      <c r="F52" s="108">
        <v>8.3000000000000001E-3</v>
      </c>
    </row>
    <row r="53" spans="3:9" ht="15">
      <c r="C53" s="105" t="s">
        <v>274</v>
      </c>
      <c r="D53" s="107">
        <v>0.95169999999999999</v>
      </c>
      <c r="E53" s="107">
        <v>3.3300000000000003E-2</v>
      </c>
      <c r="F53" s="107">
        <v>8.2000000000000007E-3</v>
      </c>
      <c r="G53" s="106">
        <v>0.37</v>
      </c>
      <c r="H53" s="106">
        <v>0.13</v>
      </c>
      <c r="I53" s="106">
        <v>0.18</v>
      </c>
    </row>
    <row r="54" spans="3:9" ht="15">
      <c r="C54" s="105" t="s">
        <v>328</v>
      </c>
      <c r="D54" s="107">
        <v>0.94520000000000004</v>
      </c>
      <c r="E54" s="107">
        <v>3.5299999999999998E-2</v>
      </c>
      <c r="F54" s="107">
        <v>8.9999999999999993E-3</v>
      </c>
      <c r="G54" s="106">
        <v>0.73</v>
      </c>
      <c r="H54" s="106">
        <v>0.14000000000000001</v>
      </c>
      <c r="I54" s="106">
        <v>0.17</v>
      </c>
    </row>
    <row r="55" spans="3:9" ht="15">
      <c r="C55" s="105" t="s">
        <v>329</v>
      </c>
      <c r="D55" s="107">
        <v>0.94750000000000001</v>
      </c>
      <c r="E55" s="107">
        <v>3.4500000000000003E-2</v>
      </c>
      <c r="F55" s="107">
        <v>0.01</v>
      </c>
      <c r="G55" s="106">
        <v>0.51</v>
      </c>
      <c r="H55" s="106">
        <v>0.13</v>
      </c>
      <c r="I55" s="106">
        <v>0.16</v>
      </c>
    </row>
    <row r="56" spans="3:9" ht="15">
      <c r="C56" s="105" t="s">
        <v>330</v>
      </c>
      <c r="D56" s="107">
        <v>0.94899999999999995</v>
      </c>
      <c r="E56" s="107">
        <v>3.4599999999999999E-2</v>
      </c>
      <c r="F56" s="107">
        <v>1.11E-2</v>
      </c>
      <c r="G56" s="106">
        <v>0.26</v>
      </c>
      <c r="H56" s="106">
        <v>0.12</v>
      </c>
      <c r="I56" s="106">
        <v>0.15</v>
      </c>
    </row>
    <row r="57" spans="3:9" ht="15">
      <c r="C57" s="105" t="s">
        <v>331</v>
      </c>
      <c r="D57" s="107">
        <v>0.94340000000000002</v>
      </c>
      <c r="E57" s="107">
        <v>3.7699999999999997E-2</v>
      </c>
      <c r="F57" s="107">
        <v>1.34E-2</v>
      </c>
      <c r="G57" s="106">
        <v>0.27</v>
      </c>
      <c r="H57" s="106">
        <v>0.11</v>
      </c>
      <c r="I57" s="106">
        <v>0.17</v>
      </c>
    </row>
    <row r="58" spans="3:9" ht="15">
      <c r="C58" s="105" t="s">
        <v>332</v>
      </c>
      <c r="D58" s="107">
        <v>0.93789999999999996</v>
      </c>
      <c r="E58" s="107">
        <v>4.0800000000000003E-2</v>
      </c>
      <c r="F58" s="107">
        <v>1.44E-2</v>
      </c>
      <c r="G58" s="106">
        <v>0.38</v>
      </c>
      <c r="H58" s="106">
        <v>0.15</v>
      </c>
      <c r="I58" s="106">
        <v>0.17</v>
      </c>
    </row>
    <row r="59" spans="3:9" ht="15">
      <c r="C59" s="105" t="s">
        <v>333</v>
      </c>
      <c r="D59" s="16">
        <v>0.93640000000000001</v>
      </c>
      <c r="E59" s="16">
        <v>4.1799999999999997E-2</v>
      </c>
      <c r="F59" s="16">
        <v>1.47E-2</v>
      </c>
    </row>
    <row r="60" spans="3:9" ht="15">
      <c r="C60" s="105" t="s">
        <v>334</v>
      </c>
      <c r="D60" s="16">
        <v>0.94630000000000003</v>
      </c>
      <c r="E60" s="16">
        <v>3.5099999999999999E-2</v>
      </c>
      <c r="F60" s="16">
        <v>1.2E-2</v>
      </c>
    </row>
    <row r="61" spans="3:9" ht="15">
      <c r="C61" s="105" t="s">
        <v>335</v>
      </c>
      <c r="D61" s="16">
        <v>0.93959999999999999</v>
      </c>
      <c r="E61" s="16">
        <v>3.9100000000000003E-2</v>
      </c>
      <c r="F61" s="16">
        <v>1.3100000000000001E-2</v>
      </c>
    </row>
    <row r="62" spans="3:9" ht="15">
      <c r="C62" s="105" t="s">
        <v>336</v>
      </c>
      <c r="D62" s="16">
        <v>0.94079999999999997</v>
      </c>
      <c r="E62" s="16">
        <v>3.7100000000000001E-2</v>
      </c>
      <c r="F62" s="16">
        <v>1.21E-2</v>
      </c>
    </row>
    <row r="63" spans="3:9" ht="15">
      <c r="C63" s="105" t="s">
        <v>337</v>
      </c>
      <c r="D63" s="16">
        <v>0.94430000000000003</v>
      </c>
      <c r="E63" s="16">
        <v>3.4000000000000002E-2</v>
      </c>
      <c r="F63" s="16">
        <v>1.14E-2</v>
      </c>
    </row>
    <row r="64" spans="3:9" ht="15">
      <c r="C64" s="105" t="s">
        <v>338</v>
      </c>
      <c r="D64" s="16">
        <v>0.94730000000000003</v>
      </c>
      <c r="E64" s="16">
        <v>3.2599999999999997E-2</v>
      </c>
      <c r="F64" s="16">
        <v>1.14E-2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8" workbookViewId="0"/>
  </sheetViews>
  <sheetFormatPr baseColWidth="10" defaultRowHeight="15" x14ac:dyDescent="0"/>
  <sheetData>
    <row r="1" spans="1:2">
      <c r="A1" t="s">
        <v>566</v>
      </c>
    </row>
    <row r="3" spans="1:2">
      <c r="A3" t="s">
        <v>39</v>
      </c>
      <c r="B3" s="111">
        <v>0.06</v>
      </c>
    </row>
    <row r="4" spans="1:2">
      <c r="A4" t="s">
        <v>567</v>
      </c>
      <c r="B4" s="111">
        <v>0.09</v>
      </c>
    </row>
    <row r="5" spans="1:2">
      <c r="A5" t="s">
        <v>568</v>
      </c>
      <c r="B5" s="111">
        <v>0.19</v>
      </c>
    </row>
    <row r="6" spans="1:2">
      <c r="A6" t="s">
        <v>569</v>
      </c>
      <c r="B6" s="111">
        <v>0.02</v>
      </c>
    </row>
    <row r="7" spans="1:2">
      <c r="A7" t="s">
        <v>570</v>
      </c>
      <c r="B7" s="111">
        <v>0.04</v>
      </c>
    </row>
    <row r="8" spans="1:2">
      <c r="A8" t="s">
        <v>571</v>
      </c>
      <c r="B8" s="111">
        <v>7.0000000000000007E-2</v>
      </c>
    </row>
    <row r="9" spans="1:2">
      <c r="A9" t="s">
        <v>572</v>
      </c>
      <c r="B9" s="111">
        <v>7.0000000000000007E-2</v>
      </c>
    </row>
    <row r="10" spans="1:2">
      <c r="A10" t="s">
        <v>573</v>
      </c>
      <c r="B10" s="111">
        <v>0.17</v>
      </c>
    </row>
    <row r="11" spans="1:2">
      <c r="A11" t="s">
        <v>574</v>
      </c>
      <c r="B11" s="111">
        <v>7.0000000000000007E-2</v>
      </c>
    </row>
    <row r="12" spans="1:2">
      <c r="A12" t="s">
        <v>0</v>
      </c>
      <c r="B12" s="111">
        <v>0.22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29" workbookViewId="0"/>
  </sheetViews>
  <sheetFormatPr baseColWidth="10" defaultRowHeight="15" x14ac:dyDescent="0"/>
  <sheetData>
    <row r="1" spans="1:10">
      <c r="A1" t="s">
        <v>585</v>
      </c>
    </row>
    <row r="2" spans="1:10">
      <c r="A2" t="s">
        <v>583</v>
      </c>
      <c r="B2">
        <v>0.13489999999999999</v>
      </c>
    </row>
    <row r="3" spans="1:10">
      <c r="A3" t="s">
        <v>584</v>
      </c>
      <c r="B3">
        <v>0.86509999999999998</v>
      </c>
    </row>
    <row r="5" spans="1:10">
      <c r="I5" t="s">
        <v>584</v>
      </c>
      <c r="J5" s="112">
        <v>0.86509999999999998</v>
      </c>
    </row>
    <row r="6" spans="1:10">
      <c r="I6" t="s">
        <v>583</v>
      </c>
      <c r="J6" s="112">
        <v>0.13489999999999999</v>
      </c>
    </row>
    <row r="7" spans="1:10">
      <c r="J7" s="112"/>
    </row>
    <row r="8" spans="1:10">
      <c r="I8" t="s">
        <v>581</v>
      </c>
      <c r="J8" s="112">
        <v>0.2</v>
      </c>
    </row>
    <row r="9" spans="1:10">
      <c r="A9" t="s">
        <v>582</v>
      </c>
      <c r="I9" t="s">
        <v>580</v>
      </c>
      <c r="J9" s="112">
        <v>0.12</v>
      </c>
    </row>
    <row r="10" spans="1:10">
      <c r="A10" t="s">
        <v>581</v>
      </c>
      <c r="B10">
        <v>0.2</v>
      </c>
      <c r="I10" t="s">
        <v>577</v>
      </c>
      <c r="J10" s="112">
        <v>0.06</v>
      </c>
    </row>
    <row r="11" spans="1:10">
      <c r="A11" t="s">
        <v>580</v>
      </c>
      <c r="B11">
        <v>0.12</v>
      </c>
      <c r="I11" t="s">
        <v>579</v>
      </c>
      <c r="J11" s="112">
        <v>0.02</v>
      </c>
    </row>
    <row r="12" spans="1:10">
      <c r="A12" t="s">
        <v>579</v>
      </c>
      <c r="B12">
        <v>0.02</v>
      </c>
      <c r="I12" t="s">
        <v>578</v>
      </c>
      <c r="J12" s="112">
        <v>0.02</v>
      </c>
    </row>
    <row r="13" spans="1:10">
      <c r="A13" t="s">
        <v>578</v>
      </c>
      <c r="B13">
        <v>0.02</v>
      </c>
      <c r="I13" t="s">
        <v>576</v>
      </c>
      <c r="J13" s="112">
        <v>0.02</v>
      </c>
    </row>
    <row r="14" spans="1:10">
      <c r="A14" t="s">
        <v>577</v>
      </c>
      <c r="B14">
        <v>0.06</v>
      </c>
      <c r="I14" t="s">
        <v>39</v>
      </c>
      <c r="J14">
        <v>0.56859999999999999</v>
      </c>
    </row>
    <row r="15" spans="1:10">
      <c r="A15" t="s">
        <v>576</v>
      </c>
      <c r="B15">
        <v>0.02</v>
      </c>
    </row>
    <row r="16" spans="1:10">
      <c r="A16" t="s">
        <v>39</v>
      </c>
      <c r="B16">
        <v>0.56859999999999999</v>
      </c>
    </row>
    <row r="19" spans="1:1">
      <c r="A19" t="s">
        <v>575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S54" sqref="S54"/>
    </sheetView>
  </sheetViews>
  <sheetFormatPr baseColWidth="10" defaultRowHeight="15" x14ac:dyDescent="0"/>
  <cols>
    <col min="1" max="2" width="10.83203125" style="1"/>
    <col min="3" max="3" width="11.5" style="1" bestFit="1" customWidth="1"/>
    <col min="4" max="8" width="10.83203125" style="1"/>
    <col min="9" max="9" width="11.5" style="1" bestFit="1" customWidth="1"/>
    <col min="10" max="16384" width="10.83203125" style="1"/>
  </cols>
  <sheetData>
    <row r="1" spans="1:9">
      <c r="A1" s="1" t="s">
        <v>586</v>
      </c>
    </row>
    <row r="2" spans="1:9">
      <c r="B2" s="1" t="s">
        <v>587</v>
      </c>
      <c r="C2" s="1" t="s">
        <v>588</v>
      </c>
      <c r="E2" s="1" t="s">
        <v>589</v>
      </c>
      <c r="F2" s="1" t="s">
        <v>590</v>
      </c>
    </row>
    <row r="3" spans="1:9">
      <c r="A3" s="19">
        <v>41369</v>
      </c>
      <c r="B3" s="2">
        <v>29975</v>
      </c>
      <c r="C3" s="2">
        <v>24700</v>
      </c>
      <c r="D3" s="19">
        <v>41369</v>
      </c>
      <c r="E3" s="2">
        <f>SUM(B3:C3)</f>
        <v>54675</v>
      </c>
      <c r="F3" s="2">
        <v>55179</v>
      </c>
    </row>
    <row r="4" spans="1:9">
      <c r="A4" s="19">
        <v>41466</v>
      </c>
      <c r="B4" s="2">
        <v>93000</v>
      </c>
      <c r="D4" s="19">
        <v>41466</v>
      </c>
      <c r="E4" s="2">
        <v>93000</v>
      </c>
      <c r="F4" s="2">
        <v>190000</v>
      </c>
    </row>
    <row r="5" spans="1:9">
      <c r="B5" s="1" t="s">
        <v>591</v>
      </c>
      <c r="C5" s="1" t="s">
        <v>592</v>
      </c>
      <c r="E5" s="113">
        <f>(E4/E3)^0.33-1</f>
        <v>0.19159609622690454</v>
      </c>
      <c r="I5" s="114"/>
    </row>
    <row r="6" spans="1:9">
      <c r="A6" s="1" t="s">
        <v>593</v>
      </c>
      <c r="B6" s="1">
        <v>0</v>
      </c>
      <c r="C6" s="114">
        <v>800000</v>
      </c>
      <c r="E6" s="45">
        <f>E3*(1+E5)</f>
        <v>65150.516561206008</v>
      </c>
      <c r="F6" s="45">
        <f>E6*(1+E5)</f>
        <v>77633.101201499376</v>
      </c>
      <c r="G6" s="45">
        <f>F6*(1+E5)</f>
        <v>92507.300329694874</v>
      </c>
    </row>
    <row r="7" spans="1:9">
      <c r="A7" s="1" t="s">
        <v>594</v>
      </c>
      <c r="B7" s="1">
        <v>0</v>
      </c>
      <c r="C7" s="114">
        <v>27849</v>
      </c>
      <c r="E7" s="2">
        <f>E4-E6</f>
        <v>27849.483438793992</v>
      </c>
    </row>
    <row r="8" spans="1:9">
      <c r="A8" s="1" t="s">
        <v>595</v>
      </c>
      <c r="B8" s="1">
        <v>0</v>
      </c>
      <c r="C8" s="114">
        <f>C6*0.57</f>
        <v>455999.99999999994</v>
      </c>
      <c r="E8" s="1" t="s">
        <v>596</v>
      </c>
      <c r="G8" s="36"/>
    </row>
    <row r="9" spans="1:9">
      <c r="E9" s="1">
        <f>50000/800000</f>
        <v>6.25E-2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/>
  </sheetViews>
  <sheetFormatPr baseColWidth="10" defaultRowHeight="15" x14ac:dyDescent="0"/>
  <sheetData>
    <row r="1" spans="1:3">
      <c r="A1" t="s">
        <v>597</v>
      </c>
    </row>
    <row r="2" spans="1:3">
      <c r="A2" t="s">
        <v>598</v>
      </c>
      <c r="B2" s="111">
        <v>8.4199999999999997E-2</v>
      </c>
    </row>
    <row r="3" spans="1:3">
      <c r="A3" t="s">
        <v>599</v>
      </c>
      <c r="B3" s="111">
        <v>0.20530000000000001</v>
      </c>
    </row>
    <row r="4" spans="1:3">
      <c r="A4" t="s">
        <v>600</v>
      </c>
      <c r="B4" s="111">
        <v>0.32629999999999998</v>
      </c>
    </row>
    <row r="5" spans="1:3">
      <c r="A5" t="s">
        <v>601</v>
      </c>
      <c r="B5" s="111">
        <v>0.38419999999999999</v>
      </c>
    </row>
    <row r="6" spans="1:3">
      <c r="C6" s="80"/>
    </row>
    <row r="8" spans="1:3">
      <c r="A8" t="s">
        <v>602</v>
      </c>
      <c r="B8">
        <v>380</v>
      </c>
    </row>
    <row r="11" spans="1:3">
      <c r="A11" t="s">
        <v>141</v>
      </c>
      <c r="B11" t="s">
        <v>603</v>
      </c>
    </row>
    <row r="12" spans="1:3">
      <c r="A12" t="s">
        <v>604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16" workbookViewId="0">
      <selection activeCell="N7" sqref="N7"/>
    </sheetView>
  </sheetViews>
  <sheetFormatPr baseColWidth="10" defaultRowHeight="15" x14ac:dyDescent="0"/>
  <cols>
    <col min="1" max="16384" width="10.83203125" style="1"/>
  </cols>
  <sheetData>
    <row r="1" spans="1:2">
      <c r="A1" s="1" t="s">
        <v>605</v>
      </c>
    </row>
    <row r="2" spans="1:2">
      <c r="B2" s="1" t="s">
        <v>44</v>
      </c>
    </row>
    <row r="3" spans="1:2">
      <c r="A3" s="1" t="s">
        <v>583</v>
      </c>
      <c r="B3" s="113">
        <v>0.28000000000000003</v>
      </c>
    </row>
    <row r="4" spans="1:2">
      <c r="A4" s="1" t="s">
        <v>606</v>
      </c>
      <c r="B4" s="113">
        <v>0.53</v>
      </c>
    </row>
    <row r="5" spans="1:2">
      <c r="A5" s="1" t="s">
        <v>607</v>
      </c>
      <c r="B5" s="113">
        <v>0.19</v>
      </c>
    </row>
    <row r="7" spans="1:2">
      <c r="A7" s="1" t="s">
        <v>134</v>
      </c>
      <c r="B7" s="1" t="s">
        <v>608</v>
      </c>
    </row>
    <row r="8" spans="1:2">
      <c r="A8" s="1" t="s">
        <v>143</v>
      </c>
      <c r="B8" s="1" t="s">
        <v>609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"/>
  <sheetViews>
    <sheetView workbookViewId="0"/>
  </sheetViews>
  <sheetFormatPr baseColWidth="10" defaultRowHeight="15" x14ac:dyDescent="0"/>
  <cols>
    <col min="1" max="16384" width="10.83203125" style="1"/>
  </cols>
  <sheetData>
    <row r="3" spans="1:2">
      <c r="A3" s="1" t="s">
        <v>610</v>
      </c>
      <c r="B3" s="1">
        <v>1.2</v>
      </c>
    </row>
    <row r="4" spans="1:2">
      <c r="A4" s="1" t="s">
        <v>611</v>
      </c>
      <c r="B4" s="1">
        <v>8.8000000000000007</v>
      </c>
    </row>
    <row r="5" spans="1:2">
      <c r="A5" s="1" t="s">
        <v>612</v>
      </c>
      <c r="B5" s="1">
        <v>7.6</v>
      </c>
    </row>
    <row r="6" spans="1:2">
      <c r="A6" s="1" t="s">
        <v>613</v>
      </c>
      <c r="B6" s="1">
        <v>2.5</v>
      </c>
    </row>
    <row r="7" spans="1:2">
      <c r="A7" s="1" t="s">
        <v>614</v>
      </c>
      <c r="B7" s="1">
        <v>1.1000000000000001</v>
      </c>
    </row>
    <row r="8" spans="1:2">
      <c r="A8" s="1" t="s">
        <v>615</v>
      </c>
      <c r="B8" s="1">
        <v>1.1000000000000001</v>
      </c>
    </row>
    <row r="9" spans="1:2">
      <c r="A9" s="1" t="s">
        <v>39</v>
      </c>
      <c r="B9" s="1">
        <v>1.7</v>
      </c>
    </row>
    <row r="10" spans="1:2">
      <c r="A10" s="1" t="s">
        <v>207</v>
      </c>
      <c r="B10" s="1">
        <f>SUM(B3:B9)</f>
        <v>24.000000000000004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"/>
  <sheetViews>
    <sheetView topLeftCell="G12" workbookViewId="0">
      <selection activeCell="M11" sqref="M11"/>
    </sheetView>
  </sheetViews>
  <sheetFormatPr baseColWidth="10" defaultRowHeight="15" x14ac:dyDescent="0"/>
  <sheetData>
    <row r="2" spans="2:12"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  <c r="K2" t="s">
        <v>117</v>
      </c>
      <c r="L2" t="s">
        <v>118</v>
      </c>
    </row>
    <row r="3" spans="2:12">
      <c r="B3" t="s">
        <v>119</v>
      </c>
      <c r="C3" s="14">
        <v>3456</v>
      </c>
      <c r="D3" s="14">
        <v>5237</v>
      </c>
      <c r="E3" s="14">
        <v>7663</v>
      </c>
      <c r="F3" s="14">
        <v>9336</v>
      </c>
      <c r="G3" s="14">
        <v>11434</v>
      </c>
      <c r="H3" s="14">
        <v>13565</v>
      </c>
      <c r="I3" s="14">
        <v>15765</v>
      </c>
      <c r="J3" s="14">
        <v>18230</v>
      </c>
      <c r="K3" s="14">
        <v>21140</v>
      </c>
      <c r="L3" s="14">
        <v>24526</v>
      </c>
    </row>
    <row r="4" spans="2:12">
      <c r="B4" t="s">
        <v>120</v>
      </c>
      <c r="C4" s="14">
        <v>648</v>
      </c>
      <c r="D4" s="14">
        <v>988</v>
      </c>
      <c r="E4" s="14">
        <v>1445</v>
      </c>
      <c r="F4" s="14">
        <v>1766</v>
      </c>
      <c r="G4" s="14">
        <v>2165</v>
      </c>
      <c r="H4" s="14">
        <v>2572</v>
      </c>
      <c r="I4" s="14">
        <v>2971</v>
      </c>
      <c r="J4" s="14">
        <v>3421</v>
      </c>
      <c r="K4" s="14">
        <v>3942</v>
      </c>
      <c r="L4" s="14">
        <v>4535</v>
      </c>
    </row>
    <row r="5" spans="2:12">
      <c r="B5" t="s">
        <v>121</v>
      </c>
      <c r="C5" s="14">
        <v>328</v>
      </c>
      <c r="D5" s="14">
        <v>470</v>
      </c>
      <c r="E5" s="14">
        <v>637</v>
      </c>
      <c r="F5" s="14">
        <v>814</v>
      </c>
      <c r="G5" s="14">
        <v>1122</v>
      </c>
      <c r="H5" s="14">
        <v>1513</v>
      </c>
      <c r="I5" s="14">
        <v>1997</v>
      </c>
      <c r="J5" s="14">
        <v>2551</v>
      </c>
      <c r="K5" s="14">
        <v>3226</v>
      </c>
      <c r="L5" s="14">
        <v>4052</v>
      </c>
    </row>
    <row r="6" spans="2:12">
      <c r="B6" t="s">
        <v>122</v>
      </c>
      <c r="C6" s="14">
        <v>333</v>
      </c>
      <c r="D6" s="14">
        <v>533</v>
      </c>
      <c r="E6" s="14">
        <v>830</v>
      </c>
      <c r="F6" s="14">
        <v>1221</v>
      </c>
      <c r="G6" s="14">
        <v>1689</v>
      </c>
      <c r="H6" s="14">
        <v>2335</v>
      </c>
      <c r="I6" s="14">
        <v>3431</v>
      </c>
      <c r="J6" s="14">
        <v>4630</v>
      </c>
      <c r="K6" s="14">
        <v>5926</v>
      </c>
      <c r="L6" s="14">
        <v>6942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L15"/>
  <sheetViews>
    <sheetView zoomScale="70" zoomScaleNormal="70" zoomScalePageLayoutView="70" workbookViewId="0">
      <selection activeCell="R16" sqref="R16"/>
    </sheetView>
  </sheetViews>
  <sheetFormatPr baseColWidth="10" defaultRowHeight="15" x14ac:dyDescent="0"/>
  <cols>
    <col min="1" max="16384" width="10.83203125" style="1"/>
  </cols>
  <sheetData>
    <row r="11" spans="2:12">
      <c r="C11" s="1" t="s">
        <v>109</v>
      </c>
      <c r="D11" s="1" t="s">
        <v>110</v>
      </c>
      <c r="E11" s="1" t="s">
        <v>111</v>
      </c>
      <c r="F11" s="1" t="s">
        <v>112</v>
      </c>
      <c r="G11" s="1" t="s">
        <v>113</v>
      </c>
      <c r="H11" s="1" t="s">
        <v>114</v>
      </c>
      <c r="I11" s="1" t="s">
        <v>115</v>
      </c>
      <c r="J11" s="1" t="s">
        <v>116</v>
      </c>
      <c r="K11" s="1" t="s">
        <v>117</v>
      </c>
      <c r="L11" s="1" t="s">
        <v>118</v>
      </c>
    </row>
    <row r="12" spans="2:12">
      <c r="B12" s="1" t="s">
        <v>616</v>
      </c>
      <c r="C12" s="2">
        <v>1522</v>
      </c>
      <c r="D12" s="2">
        <v>2750</v>
      </c>
      <c r="E12" s="2">
        <v>4010</v>
      </c>
      <c r="F12" s="2">
        <v>5440</v>
      </c>
      <c r="G12" s="2">
        <v>7381</v>
      </c>
      <c r="H12" s="2">
        <v>9832</v>
      </c>
      <c r="I12" s="2">
        <v>16095</v>
      </c>
      <c r="J12" s="2">
        <v>21685</v>
      </c>
      <c r="K12" s="2">
        <v>30043</v>
      </c>
      <c r="L12" s="2">
        <v>35941</v>
      </c>
    </row>
    <row r="13" spans="2:12">
      <c r="B13" s="1" t="s">
        <v>617</v>
      </c>
      <c r="C13" s="2">
        <v>917</v>
      </c>
      <c r="D13" s="2">
        <v>1245</v>
      </c>
      <c r="E13" s="2">
        <v>1790</v>
      </c>
      <c r="F13" s="2">
        <v>2603</v>
      </c>
      <c r="G13" s="2">
        <v>3525</v>
      </c>
      <c r="H13" s="2">
        <v>4673</v>
      </c>
      <c r="I13" s="2">
        <v>5997</v>
      </c>
      <c r="J13" s="2">
        <v>8144</v>
      </c>
      <c r="K13" s="2">
        <v>8975</v>
      </c>
      <c r="L13" s="2">
        <v>10032</v>
      </c>
    </row>
    <row r="14" spans="2:12">
      <c r="B14" s="1" t="s">
        <v>618</v>
      </c>
      <c r="C14" s="2">
        <v>39</v>
      </c>
      <c r="D14" s="2">
        <v>98</v>
      </c>
      <c r="E14" s="2">
        <v>711</v>
      </c>
      <c r="F14" s="2">
        <v>1938</v>
      </c>
      <c r="G14" s="2">
        <v>3205</v>
      </c>
      <c r="H14" s="2">
        <v>5394</v>
      </c>
      <c r="I14" s="2">
        <v>8915</v>
      </c>
      <c r="J14" s="2">
        <v>13093</v>
      </c>
      <c r="K14" s="2">
        <v>17026</v>
      </c>
      <c r="L14" s="2">
        <v>20975</v>
      </c>
    </row>
    <row r="15" spans="2:12">
      <c r="C15" s="2">
        <f>SUM(C12:C14)</f>
        <v>2478</v>
      </c>
      <c r="D15" s="2">
        <f t="shared" ref="D15:L15" si="0">SUM(D12:D14)</f>
        <v>4093</v>
      </c>
      <c r="E15" s="2">
        <f t="shared" si="0"/>
        <v>6511</v>
      </c>
      <c r="F15" s="2">
        <f t="shared" si="0"/>
        <v>9981</v>
      </c>
      <c r="G15" s="2">
        <f t="shared" si="0"/>
        <v>14111</v>
      </c>
      <c r="H15" s="2">
        <f t="shared" si="0"/>
        <v>19899</v>
      </c>
      <c r="I15" s="2">
        <f t="shared" si="0"/>
        <v>31007</v>
      </c>
      <c r="J15" s="2">
        <f t="shared" si="0"/>
        <v>42922</v>
      </c>
      <c r="K15" s="2">
        <f t="shared" si="0"/>
        <v>56044</v>
      </c>
      <c r="L15" s="2">
        <f t="shared" si="0"/>
        <v>66948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7"/>
  <sheetViews>
    <sheetView topLeftCell="C1" zoomScale="70" zoomScaleNormal="70" zoomScalePageLayoutView="70" workbookViewId="0">
      <selection activeCell="Q7" sqref="Q7"/>
    </sheetView>
  </sheetViews>
  <sheetFormatPr baseColWidth="10" defaultRowHeight="15" x14ac:dyDescent="0"/>
  <cols>
    <col min="1" max="16384" width="10.83203125" style="1"/>
  </cols>
  <sheetData>
    <row r="5" spans="2:10">
      <c r="B5" s="19">
        <v>40456</v>
      </c>
      <c r="C5" s="20">
        <v>40725</v>
      </c>
      <c r="D5" s="20">
        <v>40909</v>
      </c>
      <c r="E5" s="20">
        <v>41091</v>
      </c>
      <c r="F5" s="20">
        <v>41183</v>
      </c>
      <c r="G5" s="20">
        <v>41275</v>
      </c>
      <c r="H5" s="20">
        <v>41306</v>
      </c>
      <c r="I5" s="20">
        <v>41426</v>
      </c>
      <c r="J5" s="115" t="s">
        <v>619</v>
      </c>
    </row>
    <row r="6" spans="2:10">
      <c r="B6" s="2">
        <v>1500</v>
      </c>
      <c r="C6" s="2">
        <v>5000</v>
      </c>
      <c r="D6" s="2">
        <v>10000</v>
      </c>
      <c r="E6" s="2">
        <v>20000</v>
      </c>
      <c r="F6" s="2">
        <v>29000</v>
      </c>
      <c r="G6" s="2">
        <v>34000</v>
      </c>
      <c r="H6" s="2">
        <v>40000</v>
      </c>
      <c r="I6" s="2">
        <v>51000</v>
      </c>
      <c r="J6" s="2">
        <v>80000</v>
      </c>
    </row>
    <row r="7" spans="2:10">
      <c r="I7" s="95">
        <f>I6/G6-1</f>
        <v>0.5</v>
      </c>
      <c r="J7" s="1">
        <f>J6/I6-1</f>
        <v>0.56862745098039214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AC15"/>
  <sheetViews>
    <sheetView topLeftCell="H1" workbookViewId="0">
      <selection activeCell="H1" sqref="A1:XFD1048576"/>
    </sheetView>
  </sheetViews>
  <sheetFormatPr baseColWidth="10" defaultRowHeight="15" outlineLevelRow="1" x14ac:dyDescent="0"/>
  <cols>
    <col min="1" max="16384" width="10.83203125" style="1"/>
  </cols>
  <sheetData>
    <row r="2" spans="5:29">
      <c r="F2" s="131" t="s">
        <v>76</v>
      </c>
      <c r="G2" s="131" t="s">
        <v>75</v>
      </c>
      <c r="H2" s="131" t="s">
        <v>74</v>
      </c>
      <c r="I2" s="131" t="s">
        <v>73</v>
      </c>
      <c r="J2" s="131" t="s">
        <v>72</v>
      </c>
      <c r="K2" s="131" t="s">
        <v>71</v>
      </c>
      <c r="L2" s="131" t="s">
        <v>70</v>
      </c>
      <c r="M2" s="131" t="s">
        <v>69</v>
      </c>
      <c r="N2" s="131" t="s">
        <v>68</v>
      </c>
      <c r="O2" s="131" t="s">
        <v>67</v>
      </c>
      <c r="P2" s="131" t="s">
        <v>66</v>
      </c>
      <c r="Q2" s="131" t="s">
        <v>65</v>
      </c>
      <c r="R2" s="131" t="s">
        <v>64</v>
      </c>
      <c r="S2" s="131" t="s">
        <v>63</v>
      </c>
      <c r="T2" s="131" t="s">
        <v>62</v>
      </c>
      <c r="U2" s="131" t="s">
        <v>61</v>
      </c>
      <c r="V2" s="131" t="s">
        <v>60</v>
      </c>
      <c r="W2" s="131" t="s">
        <v>59</v>
      </c>
      <c r="X2" s="131" t="s">
        <v>58</v>
      </c>
      <c r="Y2" s="131" t="s">
        <v>57</v>
      </c>
      <c r="Z2" s="135" t="s">
        <v>56</v>
      </c>
      <c r="AA2" s="135" t="s">
        <v>55</v>
      </c>
      <c r="AB2" s="38" t="s">
        <v>54</v>
      </c>
      <c r="AC2" s="1" t="s">
        <v>53</v>
      </c>
    </row>
    <row r="3" spans="5:29">
      <c r="E3" s="1" t="s">
        <v>52</v>
      </c>
      <c r="F3" s="2">
        <v>12974</v>
      </c>
      <c r="G3" s="2">
        <v>13012</v>
      </c>
      <c r="H3" s="2">
        <v>14785</v>
      </c>
      <c r="I3" s="2">
        <v>14239.9</v>
      </c>
      <c r="J3" s="2">
        <v>12773</v>
      </c>
      <c r="K3" s="2">
        <v>12869</v>
      </c>
      <c r="L3" s="2">
        <v>15513.42</v>
      </c>
      <c r="M3" s="2">
        <v>17950.993000000002</v>
      </c>
      <c r="N3" s="2">
        <v>15468.234</v>
      </c>
      <c r="O3" s="2">
        <v>14638.985499999999</v>
      </c>
      <c r="P3" s="2">
        <v>15615.327000000001</v>
      </c>
      <c r="Q3" s="2">
        <v>17771.590499999998</v>
      </c>
      <c r="R3" s="2">
        <v>15007.369500000001</v>
      </c>
      <c r="S3" s="2">
        <v>15068.367</v>
      </c>
      <c r="T3" s="2">
        <v>16434.9935</v>
      </c>
      <c r="U3" s="2">
        <v>14912.14</v>
      </c>
      <c r="V3" s="2">
        <v>15509.7065</v>
      </c>
      <c r="W3" s="2">
        <v>13229.274000000001</v>
      </c>
      <c r="X3" s="2">
        <v>13748.380499999999</v>
      </c>
      <c r="Y3" s="2">
        <v>14834.020499999999</v>
      </c>
      <c r="Z3" s="2">
        <v>11842.388999999999</v>
      </c>
      <c r="AA3" s="2">
        <v>12390.443500000001</v>
      </c>
      <c r="AB3" s="2">
        <v>13862.199000000001</v>
      </c>
      <c r="AC3" s="2">
        <v>14356</v>
      </c>
    </row>
    <row r="4" spans="5:29">
      <c r="E4" s="1" t="s">
        <v>38</v>
      </c>
      <c r="F4" s="2">
        <v>4798</v>
      </c>
      <c r="G4" s="2">
        <v>5581</v>
      </c>
      <c r="H4" s="2">
        <v>5941</v>
      </c>
      <c r="I4" s="2">
        <v>5509.3</v>
      </c>
      <c r="J4" s="2">
        <v>4384</v>
      </c>
      <c r="K4" s="2">
        <v>5645.8</v>
      </c>
      <c r="L4" s="2">
        <v>6871.3789999999999</v>
      </c>
      <c r="M4" s="2">
        <v>7848.6785</v>
      </c>
      <c r="N4" s="2">
        <v>7002.3415000000005</v>
      </c>
      <c r="O4" s="2">
        <v>8356.1360000000004</v>
      </c>
      <c r="P4" s="2">
        <v>9554.9585000000006</v>
      </c>
      <c r="Q4" s="2">
        <v>10015.386</v>
      </c>
      <c r="R4" s="2">
        <v>8609.3335000000006</v>
      </c>
      <c r="S4" s="2">
        <v>10725.1515</v>
      </c>
      <c r="T4" s="2">
        <v>12557.878000000001</v>
      </c>
      <c r="U4" s="2">
        <v>12977.883</v>
      </c>
      <c r="V4" s="2">
        <v>11666.255000000001</v>
      </c>
      <c r="W4" s="2">
        <v>12852.6505</v>
      </c>
      <c r="X4" s="2">
        <v>13795.973</v>
      </c>
      <c r="Y4" s="2">
        <v>14040.833999999999</v>
      </c>
      <c r="Z4" s="2">
        <v>11683.2</v>
      </c>
      <c r="AA4" s="2">
        <v>12648.1325</v>
      </c>
      <c r="AB4" s="2">
        <v>14145.1775</v>
      </c>
      <c r="AC4" s="2">
        <v>14436</v>
      </c>
    </row>
    <row r="5" spans="5:29">
      <c r="E5" s="1" t="s">
        <v>51</v>
      </c>
      <c r="F5" s="2">
        <v>10579</v>
      </c>
      <c r="G5" s="2">
        <v>11160</v>
      </c>
      <c r="H5" s="2">
        <v>11089</v>
      </c>
      <c r="I5" s="2">
        <v>9839.2999999999993</v>
      </c>
      <c r="J5" s="2">
        <v>8406</v>
      </c>
      <c r="K5" s="2">
        <v>8644.2000000000007</v>
      </c>
      <c r="L5" s="2">
        <v>9908.0990000000002</v>
      </c>
      <c r="M5" s="2">
        <v>10540.644</v>
      </c>
      <c r="N5" s="2">
        <v>10339.883</v>
      </c>
      <c r="O5" s="2">
        <v>10454.537</v>
      </c>
      <c r="P5" s="2">
        <v>11006.057499999999</v>
      </c>
      <c r="Q5" s="2">
        <v>10976.1585</v>
      </c>
      <c r="R5" s="2">
        <v>10161.179</v>
      </c>
      <c r="S5" s="2">
        <v>10752.003499999999</v>
      </c>
      <c r="T5" s="2">
        <v>10841.7565</v>
      </c>
      <c r="U5" s="2">
        <v>11800.193500000001</v>
      </c>
      <c r="V5" s="2">
        <v>9974.0604999999996</v>
      </c>
      <c r="W5" s="2">
        <v>9493.1059999999998</v>
      </c>
      <c r="X5" s="2">
        <v>9357.8189999999995</v>
      </c>
      <c r="Y5" s="2">
        <v>9344.1954999999998</v>
      </c>
      <c r="Z5" s="2">
        <v>8872.4459999999999</v>
      </c>
      <c r="AA5" s="2">
        <v>9152.3169999999991</v>
      </c>
      <c r="AB5" s="2">
        <v>9412.6009999999987</v>
      </c>
      <c r="AC5" s="2">
        <v>9902</v>
      </c>
    </row>
    <row r="6" spans="5:29">
      <c r="E6" s="1" t="s">
        <v>50</v>
      </c>
      <c r="F6" s="2">
        <v>6911</v>
      </c>
      <c r="G6" s="2">
        <v>6851</v>
      </c>
      <c r="H6" s="2">
        <v>10098</v>
      </c>
      <c r="I6" s="2">
        <v>8612.7000000000007</v>
      </c>
      <c r="J6" s="2">
        <v>7779</v>
      </c>
      <c r="K6" s="2">
        <v>8203.4</v>
      </c>
      <c r="L6" s="2">
        <v>11726.585999999999</v>
      </c>
      <c r="M6" s="2">
        <v>11790.0455</v>
      </c>
      <c r="N6" s="2">
        <v>11572.9295</v>
      </c>
      <c r="O6" s="2">
        <v>10939.627499999999</v>
      </c>
      <c r="P6" s="2">
        <v>12102.411</v>
      </c>
      <c r="Q6" s="2">
        <v>11343.303</v>
      </c>
      <c r="R6" s="2">
        <v>9806.6270000000004</v>
      </c>
      <c r="S6" s="2">
        <v>9147.6705000000002</v>
      </c>
      <c r="T6" s="2">
        <v>9411.7860000000001</v>
      </c>
      <c r="U6" s="2">
        <v>9691.3119999999999</v>
      </c>
      <c r="V6" s="2">
        <v>9153.2619999999988</v>
      </c>
      <c r="W6" s="2">
        <v>9333.1915000000008</v>
      </c>
      <c r="X6" s="2">
        <v>8523.6334999999999</v>
      </c>
      <c r="Y6" s="2">
        <v>7790.8504999999996</v>
      </c>
      <c r="Z6" s="2">
        <v>6496.5920000000006</v>
      </c>
      <c r="AA6" s="2">
        <v>6265.5</v>
      </c>
      <c r="AB6" s="2">
        <v>6066.8945000000003</v>
      </c>
      <c r="AC6" s="2">
        <v>6002</v>
      </c>
    </row>
    <row r="7" spans="5:29" hidden="1" outlineLevel="1">
      <c r="E7" s="1" t="s">
        <v>49</v>
      </c>
      <c r="F7" s="2">
        <v>2289</v>
      </c>
      <c r="G7" s="2">
        <v>2496</v>
      </c>
      <c r="H7" s="2">
        <v>2611</v>
      </c>
      <c r="I7" s="2">
        <v>2524</v>
      </c>
      <c r="J7" s="2">
        <v>2216</v>
      </c>
      <c r="K7" s="2">
        <v>2603</v>
      </c>
      <c r="L7" s="2">
        <v>3053</v>
      </c>
      <c r="M7" s="132">
        <v>3362</v>
      </c>
      <c r="N7" s="132">
        <v>2943</v>
      </c>
      <c r="O7" s="132">
        <v>3472</v>
      </c>
      <c r="P7" s="132">
        <v>3885</v>
      </c>
      <c r="Q7" s="132">
        <v>4134</v>
      </c>
      <c r="R7" s="132">
        <v>3760</v>
      </c>
      <c r="S7" s="132">
        <v>3947</v>
      </c>
      <c r="T7" s="132">
        <v>4894</v>
      </c>
      <c r="U7" s="132">
        <v>5200</v>
      </c>
      <c r="V7" s="132">
        <v>4000</v>
      </c>
      <c r="W7" s="132">
        <v>4020</v>
      </c>
      <c r="X7" s="132">
        <v>4923</v>
      </c>
      <c r="Y7" s="132">
        <v>4061</v>
      </c>
      <c r="Z7" s="132">
        <v>3952</v>
      </c>
      <c r="AA7" s="132">
        <v>3952</v>
      </c>
      <c r="AB7" s="132">
        <v>3953</v>
      </c>
    </row>
    <row r="8" spans="5:29" collapsed="1">
      <c r="E8" s="1" t="s">
        <v>39</v>
      </c>
      <c r="F8" s="2">
        <v>36582</v>
      </c>
      <c r="G8" s="2">
        <v>35137</v>
      </c>
      <c r="H8" s="2">
        <v>38557</v>
      </c>
      <c r="I8" s="2">
        <v>35523.5</v>
      </c>
      <c r="J8" s="2">
        <v>32877</v>
      </c>
      <c r="K8" s="2">
        <v>33269.1</v>
      </c>
      <c r="L8" s="2">
        <v>38032.540999999997</v>
      </c>
      <c r="M8" s="2">
        <v>42019.738499999999</v>
      </c>
      <c r="N8" s="2">
        <v>39806.870500000005</v>
      </c>
      <c r="O8" s="2">
        <v>38411.154999999999</v>
      </c>
      <c r="P8" s="2">
        <v>40537.020000000004</v>
      </c>
      <c r="Q8" s="2">
        <v>43049.349499999997</v>
      </c>
      <c r="R8" s="2">
        <v>42626.084499999997</v>
      </c>
      <c r="S8" s="2">
        <v>41497.866000000002</v>
      </c>
      <c r="T8" s="2">
        <v>44413.236499999999</v>
      </c>
      <c r="U8" s="2">
        <v>46083.612999999998</v>
      </c>
      <c r="V8" s="2">
        <v>41742.2065</v>
      </c>
      <c r="W8" s="2">
        <v>42191.414499999999</v>
      </c>
      <c r="X8" s="2">
        <v>42224.218999999997</v>
      </c>
      <c r="Y8" s="2">
        <v>44071.070500000002</v>
      </c>
      <c r="Z8" s="2">
        <v>38856.377999999997</v>
      </c>
      <c r="AA8" s="2">
        <v>35405.1005</v>
      </c>
      <c r="AB8" s="2">
        <v>37457.261500000001</v>
      </c>
      <c r="AC8" s="2">
        <v>37860</v>
      </c>
    </row>
    <row r="10" spans="5:29">
      <c r="F10" s="2">
        <f>SUM(F3:F6,F8)</f>
        <v>71844</v>
      </c>
      <c r="G10" s="2">
        <f t="shared" ref="G10:AB10" si="0">SUM(G3:G6,G8)</f>
        <v>71741</v>
      </c>
      <c r="H10" s="2">
        <f t="shared" si="0"/>
        <v>80470</v>
      </c>
      <c r="I10" s="2">
        <f t="shared" si="0"/>
        <v>73724.7</v>
      </c>
      <c r="J10" s="2">
        <f t="shared" si="0"/>
        <v>66219</v>
      </c>
      <c r="K10" s="2">
        <f t="shared" si="0"/>
        <v>68631.5</v>
      </c>
      <c r="L10" s="2">
        <f t="shared" si="0"/>
        <v>82052.024999999994</v>
      </c>
      <c r="M10" s="2">
        <f t="shared" si="0"/>
        <v>90150.099500000011</v>
      </c>
      <c r="N10" s="2">
        <f t="shared" si="0"/>
        <v>84190.258499999996</v>
      </c>
      <c r="O10" s="2">
        <f t="shared" si="0"/>
        <v>82800.441000000006</v>
      </c>
      <c r="P10" s="2">
        <f t="shared" si="0"/>
        <v>88815.774000000005</v>
      </c>
      <c r="Q10" s="2">
        <f t="shared" si="0"/>
        <v>93155.787499999991</v>
      </c>
      <c r="R10" s="2">
        <f t="shared" si="0"/>
        <v>86210.593499999988</v>
      </c>
      <c r="S10" s="2">
        <f t="shared" si="0"/>
        <v>87191.058499999999</v>
      </c>
      <c r="T10" s="2">
        <f t="shared" si="0"/>
        <v>93659.650499999989</v>
      </c>
      <c r="U10" s="2">
        <f t="shared" si="0"/>
        <v>95465.141499999998</v>
      </c>
      <c r="V10" s="2">
        <f t="shared" si="0"/>
        <v>88045.4905</v>
      </c>
      <c r="W10" s="2">
        <f t="shared" si="0"/>
        <v>87099.636499999993</v>
      </c>
      <c r="X10" s="2">
        <f t="shared" si="0"/>
        <v>87650.024999999994</v>
      </c>
      <c r="Y10" s="2">
        <f t="shared" si="0"/>
        <v>90080.97099999999</v>
      </c>
      <c r="Z10" s="2">
        <f t="shared" si="0"/>
        <v>77751.005000000005</v>
      </c>
      <c r="AA10" s="2">
        <f t="shared" si="0"/>
        <v>75861.493499999997</v>
      </c>
      <c r="AB10" s="2">
        <f t="shared" si="0"/>
        <v>80944.133499999996</v>
      </c>
    </row>
    <row r="11" spans="5:29">
      <c r="J11" s="95"/>
      <c r="K11" s="1" t="s">
        <v>123</v>
      </c>
      <c r="L11" s="95">
        <f>L10/H10-1</f>
        <v>1.9659811109730363E-2</v>
      </c>
      <c r="M11" s="95">
        <f t="shared" ref="M11:AB11" si="1">M10/I10-1</f>
        <v>0.22279371092727418</v>
      </c>
      <c r="N11" s="95">
        <f t="shared" si="1"/>
        <v>0.27139126987722562</v>
      </c>
      <c r="O11" s="95">
        <f t="shared" si="1"/>
        <v>0.20644953119194542</v>
      </c>
      <c r="P11" s="95">
        <f t="shared" si="1"/>
        <v>8.2432444537474892E-2</v>
      </c>
      <c r="Q11" s="95">
        <f t="shared" si="1"/>
        <v>3.3340928259319114E-2</v>
      </c>
      <c r="R11" s="95">
        <f t="shared" si="1"/>
        <v>2.3997253791541606E-2</v>
      </c>
      <c r="S11" s="95">
        <f t="shared" si="1"/>
        <v>5.3026498977221559E-2</v>
      </c>
      <c r="T11" s="95">
        <f t="shared" si="1"/>
        <v>5.4538470835146624E-2</v>
      </c>
      <c r="U11" s="95">
        <f t="shared" si="1"/>
        <v>2.4790236462764126E-2</v>
      </c>
      <c r="V11" s="95">
        <f t="shared" si="1"/>
        <v>2.1283892448785924E-2</v>
      </c>
      <c r="W11" s="95">
        <f t="shared" si="1"/>
        <v>-1.0485249470850722E-3</v>
      </c>
      <c r="X11" s="95">
        <f t="shared" si="1"/>
        <v>-6.4164509134058689E-2</v>
      </c>
      <c r="Y11" s="95">
        <f t="shared" si="1"/>
        <v>-5.6399335038957776E-2</v>
      </c>
      <c r="Z11" s="95">
        <f t="shared" si="1"/>
        <v>-0.11692234822634096</v>
      </c>
      <c r="AA11" s="95">
        <f t="shared" si="1"/>
        <v>-0.12902629048285408</v>
      </c>
      <c r="AB11" s="103">
        <f t="shared" si="1"/>
        <v>-7.6507582285344489E-2</v>
      </c>
    </row>
    <row r="12" spans="5:29">
      <c r="K12" s="1" t="s">
        <v>124</v>
      </c>
      <c r="L12" s="95">
        <f>L10/K10-1</f>
        <v>0.19554468429219818</v>
      </c>
      <c r="M12" s="95">
        <f t="shared" ref="M12:AB12" si="2">M10/L10-1</f>
        <v>9.8694389321897003E-2</v>
      </c>
      <c r="N12" s="95">
        <f t="shared" si="2"/>
        <v>-6.6110198802387554E-2</v>
      </c>
      <c r="O12" s="95">
        <f t="shared" si="2"/>
        <v>-1.6508055976571123E-2</v>
      </c>
      <c r="P12" s="95">
        <f t="shared" si="2"/>
        <v>7.2648562342801926E-2</v>
      </c>
      <c r="Q12" s="95">
        <f t="shared" si="2"/>
        <v>4.8865345698614115E-2</v>
      </c>
      <c r="R12" s="95">
        <f t="shared" si="2"/>
        <v>-7.4554616373137317E-2</v>
      </c>
      <c r="S12" s="95">
        <f t="shared" si="2"/>
        <v>1.1372906277463679E-2</v>
      </c>
      <c r="T12" s="95">
        <f t="shared" si="2"/>
        <v>7.418870823778323E-2</v>
      </c>
      <c r="U12" s="95">
        <f t="shared" si="2"/>
        <v>1.927714859452756E-2</v>
      </c>
      <c r="V12" s="95">
        <f t="shared" si="2"/>
        <v>-7.7721049625218419E-2</v>
      </c>
      <c r="W12" s="95">
        <f t="shared" si="2"/>
        <v>-1.0742787559346989E-2</v>
      </c>
      <c r="X12" s="95">
        <f t="shared" si="2"/>
        <v>6.3190677035718235E-3</v>
      </c>
      <c r="Y12" s="95">
        <f t="shared" si="2"/>
        <v>2.773468689826375E-2</v>
      </c>
      <c r="Z12" s="95">
        <f t="shared" si="2"/>
        <v>-0.1368764774971174</v>
      </c>
      <c r="AA12" s="95">
        <f t="shared" si="2"/>
        <v>-2.4302084583987194E-2</v>
      </c>
      <c r="AB12" s="103">
        <f t="shared" si="2"/>
        <v>6.6998944596312171E-2</v>
      </c>
    </row>
    <row r="15" spans="5:29">
      <c r="W15" s="95">
        <f>SUM(V10:W10)/SUM(R10:S10)-1</f>
        <v>1.0054546654491903E-2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sqref="A1:XFD1048576"/>
    </sheetView>
  </sheetViews>
  <sheetFormatPr baseColWidth="10" defaultRowHeight="15" x14ac:dyDescent="0"/>
  <cols>
    <col min="1" max="16384" width="10.83203125" style="1"/>
  </cols>
  <sheetData>
    <row r="1" spans="1:3">
      <c r="B1" s="1" t="s">
        <v>125</v>
      </c>
    </row>
    <row r="2" spans="1:3">
      <c r="B2" s="1" t="s">
        <v>126</v>
      </c>
      <c r="C2" s="1" t="s">
        <v>127</v>
      </c>
    </row>
    <row r="3" spans="1:3">
      <c r="A3" s="1" t="s">
        <v>39</v>
      </c>
      <c r="B3" s="95">
        <v>0.08</v>
      </c>
      <c r="C3" s="45">
        <f t="shared" ref="C3:C9" si="0">B3*58</f>
        <v>4.6399999999999997</v>
      </c>
    </row>
    <row r="4" spans="1:3">
      <c r="A4" s="1" t="s">
        <v>128</v>
      </c>
      <c r="B4" s="95">
        <v>0.14000000000000001</v>
      </c>
      <c r="C4" s="45">
        <f t="shared" si="0"/>
        <v>8.120000000000001</v>
      </c>
    </row>
    <row r="5" spans="1:3">
      <c r="A5" s="1" t="s">
        <v>129</v>
      </c>
      <c r="B5" s="95">
        <v>0.08</v>
      </c>
      <c r="C5" s="45">
        <f t="shared" si="0"/>
        <v>4.6399999999999997</v>
      </c>
    </row>
    <row r="6" spans="1:3">
      <c r="A6" s="1" t="s">
        <v>130</v>
      </c>
      <c r="B6" s="95">
        <v>0.15</v>
      </c>
      <c r="C6" s="45">
        <f t="shared" si="0"/>
        <v>8.6999999999999993</v>
      </c>
    </row>
    <row r="7" spans="1:3">
      <c r="A7" s="1" t="s">
        <v>131</v>
      </c>
      <c r="B7" s="95">
        <v>0.26</v>
      </c>
      <c r="C7" s="45">
        <f t="shared" si="0"/>
        <v>15.08</v>
      </c>
    </row>
    <row r="8" spans="1:3">
      <c r="A8" s="1" t="s">
        <v>132</v>
      </c>
      <c r="B8" s="95">
        <v>0.2</v>
      </c>
      <c r="C8" s="45">
        <f t="shared" si="0"/>
        <v>11.600000000000001</v>
      </c>
    </row>
    <row r="9" spans="1:3">
      <c r="A9" s="1" t="s">
        <v>133</v>
      </c>
      <c r="B9" s="95">
        <v>0.09</v>
      </c>
      <c r="C9" s="45">
        <f t="shared" si="0"/>
        <v>5.22</v>
      </c>
    </row>
    <row r="10" spans="1:3">
      <c r="A10" s="1" t="s">
        <v>134</v>
      </c>
      <c r="B10" s="1" t="s">
        <v>135</v>
      </c>
    </row>
    <row r="11" spans="1:3">
      <c r="B11" s="36">
        <f>SUM(B3:B9)</f>
        <v>1.0000000000000002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28" workbookViewId="0"/>
  </sheetViews>
  <sheetFormatPr baseColWidth="10" defaultRowHeight="15" x14ac:dyDescent="0"/>
  <sheetData>
    <row r="1" spans="1:2">
      <c r="A1" t="s">
        <v>136</v>
      </c>
    </row>
    <row r="3" spans="1:2">
      <c r="A3" t="s">
        <v>137</v>
      </c>
    </row>
    <row r="4" spans="1:2">
      <c r="A4" t="s">
        <v>138</v>
      </c>
      <c r="B4">
        <v>43</v>
      </c>
    </row>
    <row r="5" spans="1:2">
      <c r="A5" t="s">
        <v>139</v>
      </c>
      <c r="B5">
        <v>39</v>
      </c>
    </row>
    <row r="6" spans="1:2">
      <c r="A6" t="s">
        <v>81</v>
      </c>
      <c r="B6">
        <v>30</v>
      </c>
    </row>
    <row r="7" spans="1:2">
      <c r="A7" t="s">
        <v>140</v>
      </c>
      <c r="B7">
        <v>17</v>
      </c>
    </row>
    <row r="9" spans="1:2">
      <c r="A9" t="s">
        <v>141</v>
      </c>
      <c r="B9" t="s">
        <v>142</v>
      </c>
    </row>
    <row r="10" spans="1:2">
      <c r="A10" t="s">
        <v>143</v>
      </c>
      <c r="B10" t="s">
        <v>144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62</vt:i4>
      </vt:variant>
    </vt:vector>
  </HeadingPairs>
  <TitlesOfParts>
    <vt:vector size="62" baseType="lpstr">
      <vt:lpstr>GlobalConnectDeviceShipments</vt:lpstr>
      <vt:lpstr>Shipments (2)</vt:lpstr>
      <vt:lpstr>Tablet and PCs</vt:lpstr>
      <vt:lpstr>Phablets</vt:lpstr>
      <vt:lpstr>BII Market Size Forecast</vt:lpstr>
      <vt:lpstr>Connected Car revenue forecast</vt:lpstr>
      <vt:lpstr>GlobalPCShipments</vt:lpstr>
      <vt:lpstr> People Spend 1 Hour A Day</vt:lpstr>
      <vt:lpstr>Av Minutes Spent Per Inter</vt:lpstr>
      <vt:lpstr>consumer media share</vt:lpstr>
      <vt:lpstr>WhatsAppInstaSnap</vt:lpstr>
      <vt:lpstr>Whatsapp</vt:lpstr>
      <vt:lpstr>users</vt:lpstr>
      <vt:lpstr>OTT v. SMS</vt:lpstr>
      <vt:lpstr>TopPhotoSharingSites</vt:lpstr>
      <vt:lpstr>Snapchat (2)</vt:lpstr>
      <vt:lpstr>GlobalInternetTrafficMobileVDes</vt:lpstr>
      <vt:lpstr>Mobile Video Traffic</vt:lpstr>
      <vt:lpstr>MobileUsagePandoraFBTwtr</vt:lpstr>
      <vt:lpstr>FB ad rev (2)</vt:lpstr>
      <vt:lpstr>Ecommerce device traffic (2)</vt:lpstr>
      <vt:lpstr>M-Commerce, E-commerce Share</vt:lpstr>
      <vt:lpstr>RetailDigitalAudiences</vt:lpstr>
      <vt:lpstr>PayPal Payments (2)</vt:lpstr>
      <vt:lpstr>Starbucks</vt:lpstr>
      <vt:lpstr>Rides</vt:lpstr>
      <vt:lpstr>mobile app revenue</vt:lpstr>
      <vt:lpstr>SmartphoneFeaturePhoneLine</vt:lpstr>
      <vt:lpstr>u.s. penetration</vt:lpstr>
      <vt:lpstr>u.s. smartphone net adds (2)</vt:lpstr>
      <vt:lpstr>2014 Smartphone Sales</vt:lpstr>
      <vt:lpstr>ChineseInternetUsers</vt:lpstr>
      <vt:lpstr>AppsPerCapita</vt:lpstr>
      <vt:lpstr>SmartphoneASP</vt:lpstr>
      <vt:lpstr>iPhone (2)</vt:lpstr>
      <vt:lpstr>iPad</vt:lpstr>
      <vt:lpstr>Tablet shipments (2)</vt:lpstr>
      <vt:lpstr>TabletsSmartphones</vt:lpstr>
      <vt:lpstr>Global OS smartphone share (2)</vt:lpstr>
      <vt:lpstr>TabletMarketShare (2)</vt:lpstr>
      <vt:lpstr>ComputingPlatform (2)</vt:lpstr>
      <vt:lpstr>DevelopersMainPlatform</vt:lpstr>
      <vt:lpstr>Android OS frag</vt:lpstr>
      <vt:lpstr>USSmartphoneMarketShare</vt:lpstr>
      <vt:lpstr>AdRevenueShare</vt:lpstr>
      <vt:lpstr>ecommerce smartphone traffic</vt:lpstr>
      <vt:lpstr>Ad Spend vs Consumer Time</vt:lpstr>
      <vt:lpstr>U.S. digital &amp; mobile ad spend</vt:lpstr>
      <vt:lpstr>AdRevByFormat</vt:lpstr>
      <vt:lpstr>eCPM</vt:lpstr>
      <vt:lpstr>AdSpendPerSub</vt:lpstr>
      <vt:lpstr>GlobalAdRevByFormat</vt:lpstr>
      <vt:lpstr>Mobile Search Share (2)</vt:lpstr>
      <vt:lpstr>WearablesNextBigThing</vt:lpstr>
      <vt:lpstr>Wearables and Fitness Bands</vt:lpstr>
      <vt:lpstr>SamsungGalaxyGear</vt:lpstr>
      <vt:lpstr>Consumer Interest</vt:lpstr>
      <vt:lpstr>Interaction</vt:lpstr>
      <vt:lpstr>TimeSpentDaily</vt:lpstr>
      <vt:lpstr>ConnectedCarUnitForecast</vt:lpstr>
      <vt:lpstr>waze</vt:lpstr>
      <vt:lpstr>Sheet1</vt:lpstr>
    </vt:vector>
  </TitlesOfParts>
  <Company>Business Insider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Danova</dc:creator>
  <cp:lastModifiedBy>Tony Danova</cp:lastModifiedBy>
  <dcterms:created xsi:type="dcterms:W3CDTF">2014-03-20T18:19:03Z</dcterms:created>
  <dcterms:modified xsi:type="dcterms:W3CDTF">2014-03-21T16:40:20Z</dcterms:modified>
</cp:coreProperties>
</file>